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80" windowWidth="12120" windowHeight="7710" tabRatio="915" activeTab="0"/>
  </bookViews>
  <sheets>
    <sheet name="NFZ" sheetId="1" r:id="rId1"/>
    <sheet name="CENTRALA" sheetId="2" r:id="rId2"/>
    <sheet name="Razem OW" sheetId="3" r:id="rId3"/>
    <sheet name="Dolnośląski" sheetId="4" r:id="rId4"/>
    <sheet name="KujawskoPomorski" sheetId="5" r:id="rId5"/>
    <sheet name="Lubelski" sheetId="6" r:id="rId6"/>
    <sheet name="Lubuski" sheetId="7" r:id="rId7"/>
    <sheet name="Łódzki" sheetId="8" r:id="rId8"/>
    <sheet name="Małopolski" sheetId="9" r:id="rId9"/>
    <sheet name="Mazowiecki" sheetId="10" r:id="rId10"/>
    <sheet name="Opolski" sheetId="11" r:id="rId11"/>
    <sheet name="Podkarpacki" sheetId="12" r:id="rId12"/>
    <sheet name="Podlaski" sheetId="13" r:id="rId13"/>
    <sheet name="Pomorski" sheetId="14" r:id="rId14"/>
    <sheet name="Śląski" sheetId="15" r:id="rId15"/>
    <sheet name="Świętokrzyski" sheetId="16" r:id="rId16"/>
    <sheet name="WarmińskoMazurski" sheetId="17" r:id="rId17"/>
    <sheet name="Wielkopolski" sheetId="18" r:id="rId18"/>
    <sheet name="Zachodniopomorski" sheetId="19" r:id="rId19"/>
    <sheet name="Łącznie" sheetId="20" state="hidden" r:id="rId20"/>
    <sheet name="Plan po zm. łącznie  NFZ" sheetId="21" state="hidden" r:id="rId21"/>
  </sheets>
  <externalReferences>
    <externalReference r:id="rId24"/>
    <externalReference r:id="rId25"/>
    <externalReference r:id="rId26"/>
    <externalReference r:id="rId27"/>
  </externalReferences>
  <definedNames>
    <definedName name="___C">[0]!___C</definedName>
    <definedName name="__C">[0]!__C</definedName>
    <definedName name="_1_0_0kos">'[1]plan'!#REF!</definedName>
    <definedName name="_2_0_0ra">'[1]plan'!#REF!</definedName>
    <definedName name="_C" localSheetId="2">'Razem OW'!_C</definedName>
    <definedName name="_C" localSheetId="18">'Zachodniopomorski'!_C</definedName>
    <definedName name="_C">'Razem OW'!_C</definedName>
    <definedName name="A" localSheetId="2">'Razem OW'!A</definedName>
    <definedName name="A" localSheetId="18">'Zachodniopomorski'!A</definedName>
    <definedName name="A">'Razem OW'!A</definedName>
    <definedName name="A_2">[0]!A_2</definedName>
    <definedName name="aa" localSheetId="2">'Razem OW'!aa</definedName>
    <definedName name="aa" localSheetId="18">'Zachodniopomorski'!aa</definedName>
    <definedName name="aa">'Razem OW'!aa</definedName>
    <definedName name="aa_2">[0]!aa_2</definedName>
    <definedName name="B">[0]!B</definedName>
    <definedName name="BILANS">'[2]plan'!#REF!</definedName>
    <definedName name="BILANSSPZ">'[2]plan'!#REF!</definedName>
    <definedName name="BV" localSheetId="2">'Razem OW'!BV</definedName>
    <definedName name="BV" localSheetId="18">'Zachodniopomorski'!BV</definedName>
    <definedName name="BV">'Razem OW'!BV</definedName>
    <definedName name="cr" localSheetId="2">'Razem OW'!cr</definedName>
    <definedName name="cr" localSheetId="18">'Zachodniopomorski'!cr</definedName>
    <definedName name="cr">'Razem OW'!cr</definedName>
    <definedName name="d" localSheetId="2">'Razem OW'!d</definedName>
    <definedName name="d" localSheetId="18">'Zachodniopomorski'!d</definedName>
    <definedName name="d">'Razem OW'!d</definedName>
    <definedName name="depozyty">#REF!</definedName>
    <definedName name="g">[0]!g</definedName>
    <definedName name="koszty">'[1]plan'!#REF!</definedName>
    <definedName name="licznikn">#REF!</definedName>
    <definedName name="licznikr">#REF!</definedName>
    <definedName name="licznikz">#REF!</definedName>
    <definedName name="mn" localSheetId="2">'Razem OW'!mn</definedName>
    <definedName name="mn" localSheetId="18">'Zachodniopomorski'!mn</definedName>
    <definedName name="mn">'Razem OW'!mn</definedName>
    <definedName name="mon" localSheetId="2">'Razem OW'!mon</definedName>
    <definedName name="mon" localSheetId="18">'Zachodniopomorski'!mon</definedName>
    <definedName name="mon">'Razem OW'!mon</definedName>
    <definedName name="naleznosci">#REF!</definedName>
    <definedName name="_xlnm.Print_Area" localSheetId="1">'CENTRALA'!$A$1:$F$64</definedName>
    <definedName name="_xlnm.Print_Area" localSheetId="3">'Dolnośląski'!$A$1:$F$64</definedName>
    <definedName name="_xlnm.Print_Area" localSheetId="4">'KujawskoPomorski'!$A$1:$F$64</definedName>
    <definedName name="_xlnm.Print_Area" localSheetId="5">'Lubelski'!$A$1:$F$64</definedName>
    <definedName name="_xlnm.Print_Area" localSheetId="6">'Lubuski'!$A$1:$F$64</definedName>
    <definedName name="_xlnm.Print_Area" localSheetId="19">'Łącznie'!$A$1:$T$63</definedName>
    <definedName name="_xlnm.Print_Area" localSheetId="7">'Łódzki'!$A$1:$F$64</definedName>
    <definedName name="_xlnm.Print_Area" localSheetId="8">'Małopolski'!$A$1:$F$64</definedName>
    <definedName name="_xlnm.Print_Area" localSheetId="9">'Mazowiecki'!$A$1:$F$64</definedName>
    <definedName name="_xlnm.Print_Area" localSheetId="0">'NFZ'!$A$1:$F$98</definedName>
    <definedName name="_xlnm.Print_Area" localSheetId="10">'Opolski'!$A$1:$F$64</definedName>
    <definedName name="_xlnm.Print_Area" localSheetId="20">'Plan po zm. łącznie  NFZ'!$A$2:$U$62</definedName>
    <definedName name="_xlnm.Print_Area" localSheetId="11">'Podkarpacki'!$A$1:$F$64</definedName>
    <definedName name="_xlnm.Print_Area" localSheetId="12">'Podlaski'!$A$1:$F$64</definedName>
    <definedName name="_xlnm.Print_Area" localSheetId="13">'Pomorski'!$A$1:$F$64</definedName>
    <definedName name="_xlnm.Print_Area" localSheetId="2">'Razem OW'!$A$1:$F$64</definedName>
    <definedName name="_xlnm.Print_Area" localSheetId="14">'Śląski'!$A$1:$F$64</definedName>
    <definedName name="_xlnm.Print_Area" localSheetId="15">'Świętokrzyski'!$A$1:$F$64</definedName>
    <definedName name="_xlnm.Print_Area" localSheetId="16">'WarmińskoMazurski'!$A$1:$F$64</definedName>
    <definedName name="_xlnm.Print_Area" localSheetId="17">'Wielkopolski'!$A$1:$F$64</definedName>
    <definedName name="_xlnm.Print_Area" localSheetId="18">'Zachodniopomorski'!$A$1:$F$64</definedName>
    <definedName name="PETLA">[3]!PETLA</definedName>
    <definedName name="rach1">#REF!</definedName>
    <definedName name="rach2">#REF!</definedName>
    <definedName name="rach3">#REF!</definedName>
    <definedName name="rgds" localSheetId="2">'Razem OW'!rgds</definedName>
    <definedName name="rgds" localSheetId="18">'Zachodniopomorski'!rgds</definedName>
    <definedName name="rgds">'Razem OW'!rgds</definedName>
    <definedName name="_xlnm.Print_Titles" localSheetId="0">'NFZ'!$1:$6</definedName>
    <definedName name="_xlnm.Print_Titles" localSheetId="20">'Plan po zm. łącznie  NFZ'!$A:$B</definedName>
    <definedName name="wybkosz1">#REF!</definedName>
    <definedName name="wybkosz2">#REF!</definedName>
    <definedName name="za" localSheetId="2">'Razem OW'!za</definedName>
    <definedName name="za" localSheetId="18">'Zachodniopomorski'!za</definedName>
    <definedName name="za">'Razem OW'!za</definedName>
  </definedNames>
  <calcPr fullCalcOnLoad="1" fullPrecision="0"/>
</workbook>
</file>

<file path=xl/sharedStrings.xml><?xml version="1.0" encoding="utf-8"?>
<sst xmlns="http://schemas.openxmlformats.org/spreadsheetml/2006/main" count="2734" uniqueCount="266">
  <si>
    <t>B2</t>
  </si>
  <si>
    <t>B2.1</t>
  </si>
  <si>
    <t>B2.2</t>
  </si>
  <si>
    <t>B2.3</t>
  </si>
  <si>
    <t>B2.4</t>
  </si>
  <si>
    <t>B2.5</t>
  </si>
  <si>
    <t>B2.6</t>
  </si>
  <si>
    <t>B2.7</t>
  </si>
  <si>
    <t>B2.8</t>
  </si>
  <si>
    <t>B2.9</t>
  </si>
  <si>
    <t>B2.10</t>
  </si>
  <si>
    <t>B2.11</t>
  </si>
  <si>
    <t>B2.12</t>
  </si>
  <si>
    <t>B2.13</t>
  </si>
  <si>
    <t>B2.14</t>
  </si>
  <si>
    <t>B2.15</t>
  </si>
  <si>
    <t>D.</t>
  </si>
  <si>
    <t>D1</t>
  </si>
  <si>
    <t>zużycie materiałów i energii</t>
  </si>
  <si>
    <t>D2</t>
  </si>
  <si>
    <t>usługi obce</t>
  </si>
  <si>
    <t>D3</t>
  </si>
  <si>
    <t>D4</t>
  </si>
  <si>
    <t>D5</t>
  </si>
  <si>
    <t>D6</t>
  </si>
  <si>
    <t>koszty funkcjonowania Rady Funduszu</t>
  </si>
  <si>
    <t>D7</t>
  </si>
  <si>
    <t>D8</t>
  </si>
  <si>
    <t>pozostałe koszty administracyjne</t>
  </si>
  <si>
    <t>F.</t>
  </si>
  <si>
    <t>F2</t>
  </si>
  <si>
    <t>F3</t>
  </si>
  <si>
    <t>podatki stanowiące dochody własne jednostek samorządu terytorialnego, w tym:</t>
  </si>
  <si>
    <t>podatek od nieruchomości</t>
  </si>
  <si>
    <t>opłaty stanowiące dochody własne jednostek samorządu terytorialnego</t>
  </si>
  <si>
    <t>VAT</t>
  </si>
  <si>
    <t>podatek akcyzowy</t>
  </si>
  <si>
    <t>wpłaty na PFRON</t>
  </si>
  <si>
    <t>inne</t>
  </si>
  <si>
    <t>D3.1</t>
  </si>
  <si>
    <t>D3.1.1</t>
  </si>
  <si>
    <t>D3.2</t>
  </si>
  <si>
    <t>D3.3</t>
  </si>
  <si>
    <t>D3.4</t>
  </si>
  <si>
    <t>D3.5</t>
  </si>
  <si>
    <t>D3.6</t>
  </si>
  <si>
    <t>składki na Fundusz Ubezpieczeń Społecznych</t>
  </si>
  <si>
    <t>składki na Fundusz Pracy</t>
  </si>
  <si>
    <t>składki na Fundusz Gwarantowanych Świadczeń Pracowniczych</t>
  </si>
  <si>
    <t>pozostałe świadczenia</t>
  </si>
  <si>
    <t>D5.1</t>
  </si>
  <si>
    <t>D5.2</t>
  </si>
  <si>
    <t>D5.3</t>
  </si>
  <si>
    <t>D5.4</t>
  </si>
  <si>
    <t>ubezpieczenie społeczne i inne świadczenia, w tym:</t>
  </si>
  <si>
    <t>Wyszczególnienie</t>
  </si>
  <si>
    <t>rezerwa na zobowiązania wynikające z postępowań sądowych</t>
  </si>
  <si>
    <t>B2.3.1</t>
  </si>
  <si>
    <t>B4</t>
  </si>
  <si>
    <t>B3</t>
  </si>
  <si>
    <t xml:space="preserve">Koszty programów polityki zdrowotnej realizowanych na zlecenie </t>
  </si>
  <si>
    <t>Koszty realizacji zadań zespołów ratownictwa medycznego</t>
  </si>
  <si>
    <t xml:space="preserve">Koszty Dolnośląskiego Oddziału Wojewódzkiego Narodowego Funduszu Zdrowia </t>
  </si>
  <si>
    <t>Koszty Kujawsko-Pomorskiego Oddziału Wojewódzkiego Narodowego Funduszu Zdrowia</t>
  </si>
  <si>
    <t>Koszty Lubelskiego Oddziału Wojewódzkiego Narodowego Funduszu Zdrowia</t>
  </si>
  <si>
    <t>Koszty Lubuskiego Oddziału Wojewódzkiego Narodowego Funduszu Zdrowia</t>
  </si>
  <si>
    <t>Koszty Łódzkiego Oddziału Wojewódzkiego Narodowego Funduszu Zdrowia</t>
  </si>
  <si>
    <t>Koszty Małopolskiego Oddziału Wojewódzkiego Narodowego Funduszu Zdrowia</t>
  </si>
  <si>
    <t>Koszty Mazowieckiego Oddziału Wojewódzkiego Narodowego Funduszu Zdrowia</t>
  </si>
  <si>
    <t>Koszty Opolskiego Oddziału Wojewódzkiego Narodowego Funduszu Zdrowia</t>
  </si>
  <si>
    <t>Koszty Podkarpackiego Oddziału Wojewódzkiego Narodowego Funduszu Zdrowia</t>
  </si>
  <si>
    <t>Koszty Podlaskiego Oddziału Wojewódzkiego Narodowego Funduszu Zdrowia</t>
  </si>
  <si>
    <t>Koszty Pomorskiego Oddziału Wojewódzkiego Narodowego Funduszu Zdrowia</t>
  </si>
  <si>
    <t>Koszty Śląskiego Oddziału Wojewódzkiego Narodowego Funduszu Zdrowia</t>
  </si>
  <si>
    <t>Koszty Świętokrzyskiego Oddziału Wojewódzkiego Narodowego Funduszu Zdrowia</t>
  </si>
  <si>
    <t>Koszty Warmińsko-Mazurskiego Oddziału Wojewódzkiego Narodowego Funduszu Zdrowia</t>
  </si>
  <si>
    <t>Koszty Wielkopolskiego Oddziału Wojewódzkiego Narodowego Funduszu Zdrowia</t>
  </si>
  <si>
    <t>Koszty Zachodniopomorskiego Oddziału Wojewódzkiego Narodowego Funduszu Zdrowia</t>
  </si>
  <si>
    <t>1.1</t>
  </si>
  <si>
    <t>od ZUS</t>
  </si>
  <si>
    <t>1.2</t>
  </si>
  <si>
    <t>od KRUS</t>
  </si>
  <si>
    <t>2.1</t>
  </si>
  <si>
    <t>w stosunku do ZUS</t>
  </si>
  <si>
    <t>2.2</t>
  </si>
  <si>
    <t>w stosunku do KRUS</t>
  </si>
  <si>
    <t>3.1</t>
  </si>
  <si>
    <t>3.2</t>
  </si>
  <si>
    <t>4.1</t>
  </si>
  <si>
    <t>koszty poboru i ewidencjonowania składek przez ZUS</t>
  </si>
  <si>
    <t>4.2</t>
  </si>
  <si>
    <t>koszty poboru i ewidencjonowania składek przez KRUS</t>
  </si>
  <si>
    <t>A1</t>
  </si>
  <si>
    <t>przychody wynikające z przepisów o koordynacji</t>
  </si>
  <si>
    <t>A2</t>
  </si>
  <si>
    <t>przychody z tytułu realizacji zadań zleconych</t>
  </si>
  <si>
    <t>A3</t>
  </si>
  <si>
    <t>A4</t>
  </si>
  <si>
    <t>dotacja z budżetu państwa na realizację zadań zespołów ratownictwa medycznego</t>
  </si>
  <si>
    <t>B1</t>
  </si>
  <si>
    <t>Obowiazkowy odpis na rezerwę ogólną</t>
  </si>
  <si>
    <t>Koszty programów polityki zdrowotnej realizowanych na zlecenie</t>
  </si>
  <si>
    <t>F1</t>
  </si>
  <si>
    <t>F4</t>
  </si>
  <si>
    <t>inne rezerwy</t>
  </si>
  <si>
    <t>inne koszty</t>
  </si>
  <si>
    <t>G1</t>
  </si>
  <si>
    <t xml:space="preserve">odsetki uzyskane z lokat </t>
  </si>
  <si>
    <t>G2</t>
  </si>
  <si>
    <t>inne przychody finansowe</t>
  </si>
  <si>
    <t>H.</t>
  </si>
  <si>
    <t>J1</t>
  </si>
  <si>
    <t>zyski nadzwyczajne - wielkość dodatnia</t>
  </si>
  <si>
    <t>J2</t>
  </si>
  <si>
    <t>straty nadzwyczajne - wielkość ujemna</t>
  </si>
  <si>
    <t>Inne obowiązkowe obciążenia wyniku finansowego
(w tym CIT)</t>
  </si>
  <si>
    <t xml:space="preserve"> Przychody - ogółem</t>
  </si>
  <si>
    <t xml:space="preserve"> Koszty - ogółem</t>
  </si>
  <si>
    <t>Wynik brutto na całokształcie działalności
(C - D + E - F + G - H)</t>
  </si>
  <si>
    <t>B2.16</t>
  </si>
  <si>
    <t>B2.17</t>
  </si>
  <si>
    <t>B2.18</t>
  </si>
  <si>
    <t>rezerwa na koszty realizacji zadań wynikajacych z przepisów o koordynacji</t>
  </si>
  <si>
    <t>rezerwa na koszty świadczeń opieki zdrowotnej w ramach migracji ubezpieczonych</t>
  </si>
  <si>
    <t>wydanie i utrzymanie kart ubezpieczenia (w tym części stałych i zamiennych książeczek usług medycznych) oraz recept</t>
  </si>
  <si>
    <t>Zyski i straty nadzwyczajne (J1 - J2)</t>
  </si>
  <si>
    <t>Wynik fiansowy ogółem brutto (I + J)</t>
  </si>
  <si>
    <t>Wynik na działalności (A - B)</t>
  </si>
  <si>
    <t>Koszty realizacji zadań (B1 + B2 + B3 + B4)</t>
  </si>
  <si>
    <t>Koszty finansowe</t>
  </si>
  <si>
    <t>Wynik finansowy ogółem netto (K-L)</t>
  </si>
  <si>
    <t>leczenie szpitalne, w tym:</t>
  </si>
  <si>
    <t>Poz.</t>
  </si>
  <si>
    <t>podstawowa opieka zdrowotna</t>
  </si>
  <si>
    <t>ambulatoryjna opieka specjalistyczna</t>
  </si>
  <si>
    <t>rehabilitacja lecznicza</t>
  </si>
  <si>
    <t>leczenie stomatologiczne</t>
  </si>
  <si>
    <t>lecznictwo uzdrowiskowe</t>
  </si>
  <si>
    <t>koszty profilaktycznych programów zdrowotnych finansowanych ze środków własnych Funduszu</t>
  </si>
  <si>
    <t>opieka psychiatryczna i leczenie uzależnień</t>
  </si>
  <si>
    <t>opieka paliatywna i hospicyjna</t>
  </si>
  <si>
    <t>świadczenia pielęgnacyjne i opiekuńcze w ramach opieki długoterminowej</t>
  </si>
  <si>
    <t>pomoc doraźna i transport sanitarny</t>
  </si>
  <si>
    <t>B2.14.1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</si>
  <si>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</si>
  <si>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</si>
  <si>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</si>
  <si>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</si>
  <si>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</si>
  <si>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</si>
  <si>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</si>
  <si>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</si>
  <si>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</si>
  <si>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</si>
  <si>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</si>
  <si>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</si>
  <si>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</si>
  <si>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</si>
  <si>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</si>
  <si>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w tys. zł</t>
  </si>
  <si>
    <t>programy terapeutyczne (lekowe), w tym:</t>
  </si>
  <si>
    <t>B2.3.1.1</t>
  </si>
  <si>
    <t>B2.3.2</t>
  </si>
  <si>
    <t>B2.3.2.1</t>
  </si>
  <si>
    <t>leki, środki spożywcze specjalnego przeznaczenia żywieniowego objęte programami lekowymi</t>
  </si>
  <si>
    <t>chemioterapia, w tym:</t>
  </si>
  <si>
    <t>leki stosowane w chemioterapii</t>
  </si>
  <si>
    <t>zaopatrzenie w wyroby medyczne oraz ich naprawa, o których mowa w ustawie o refundacji</t>
  </si>
  <si>
    <t>refundacja, w tym:</t>
  </si>
  <si>
    <t>B2.14.2</t>
  </si>
  <si>
    <t>refundacja leków, środków spożywczych specjalnego przeznaczenia żywieniowego oraz wyrobów medycznych dostępnych w aptece na receptę</t>
  </si>
  <si>
    <t>refundacja środków spożywczych specjalnego przeznaczenia żywieniowego, o których mowa w art. 15 ust. 2 pkt 18 ustawy</t>
  </si>
  <si>
    <t>refundacja leków, o których mowa w art. 15 ust. 2 pkt 17 ustawy</t>
  </si>
  <si>
    <t>B2.14.3</t>
  </si>
  <si>
    <t>rezerwa na pokrycie kosztów świadczeń opieki zdrowotnej oraz refundacji leków, w tym:</t>
  </si>
  <si>
    <t>B2.16.1</t>
  </si>
  <si>
    <t>Bn</t>
  </si>
  <si>
    <t>Całkowity budżet na refundację
(B2.3.1.1+B2.3.2.1+B2.14+B2.16.1)</t>
  </si>
  <si>
    <t>wynagrodzenia, w tym:</t>
  </si>
  <si>
    <t>D4.1</t>
  </si>
  <si>
    <t>wynagrodzenia bezosobowe</t>
  </si>
  <si>
    <t>amortyzacja środków trwałych oraz wartości niematerialnych i prawnych</t>
  </si>
  <si>
    <t>Pozostałe koszty (F1+...+F4)</t>
  </si>
  <si>
    <t>Pozostałe przychody</t>
  </si>
  <si>
    <t>Koszty administracyjne ( D1+...+D9 ), w tym</t>
  </si>
  <si>
    <t>świadczenia opieki zdrowotnej kontraktowane odrębnie</t>
  </si>
  <si>
    <t>koszty świadczeń opieki zdrowotnej z lat ubiegłych</t>
  </si>
  <si>
    <t>rezerwa, o której mowa w art. 118 ust. 2 pkt 2 lit. c ustawy</t>
  </si>
  <si>
    <t>Przychody i koszty Narodowego Funduszu Zdrowia - łącznie</t>
  </si>
  <si>
    <t>Koszty Centrali Narodowego Funduszu Zdrowia</t>
  </si>
  <si>
    <t>Koszty oddziałów wojewódzkich NFZ - łącznie</t>
  </si>
  <si>
    <t>Plan 
po zmianie</t>
  </si>
  <si>
    <t>Różnica 
kol.4-kol.3</t>
  </si>
  <si>
    <t>Dynamika
kol.4/kol.3</t>
  </si>
  <si>
    <t xml:space="preserve"> </t>
  </si>
  <si>
    <t>[w tys. zł]</t>
  </si>
  <si>
    <t>Centrala</t>
  </si>
  <si>
    <t>OW NFZ RAZEM</t>
  </si>
  <si>
    <t>Dolnośląski</t>
  </si>
  <si>
    <t>Kujawsko-Pomorski</t>
  </si>
  <si>
    <t>Lubelski</t>
  </si>
  <si>
    <t>Lubuski</t>
  </si>
  <si>
    <t>Łódzki</t>
  </si>
  <si>
    <t>Małopolski</t>
  </si>
  <si>
    <t>Mazowiecki</t>
  </si>
  <si>
    <t>Opolski</t>
  </si>
  <si>
    <t>Podkarpacki</t>
  </si>
  <si>
    <t>Podlaski</t>
  </si>
  <si>
    <t>Pomorski</t>
  </si>
  <si>
    <t>Śląski</t>
  </si>
  <si>
    <t>Świętokrzyski</t>
  </si>
  <si>
    <t>Warmińsko-Mazurski</t>
  </si>
  <si>
    <t>Wielkopolski</t>
  </si>
  <si>
    <t>Zachodniopomorski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</si>
  <si>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</si>
  <si>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</si>
  <si>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</si>
  <si>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</si>
  <si>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</si>
  <si>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</si>
  <si>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</si>
  <si>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</si>
  <si>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</si>
  <si>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</si>
  <si>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</si>
  <si>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</si>
  <si>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</si>
  <si>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</si>
  <si>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</si>
  <si>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</si>
  <si>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</si>
  <si>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</si>
  <si>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</si>
  <si>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</si>
  <si>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Koszty świadczeń opieki zdrowotnej (B2.1+...+B2.18), w tym:</t>
  </si>
  <si>
    <t>podatki i opłaty</t>
  </si>
  <si>
    <t>Plan na
2014 rok</t>
  </si>
  <si>
    <t>NFZ RAZEM</t>
  </si>
  <si>
    <t>Plan NFZ na 2014 r. po zmianie</t>
  </si>
  <si>
    <t>1</t>
  </si>
  <si>
    <t>21.</t>
  </si>
  <si>
    <t>22.</t>
  </si>
  <si>
    <t>23.</t>
  </si>
  <si>
    <t>24.</t>
  </si>
  <si>
    <t>RAZEM OW NFZ</t>
  </si>
  <si>
    <t>Zmiana planu na 2014 r.
Razem OW NFZ</t>
  </si>
  <si>
    <t>B2.19</t>
  </si>
  <si>
    <t>rezerwa na koszty świadczeń opieki zdrowotnej udzielone w ramach transgranicznej opieki zdrowotnej</t>
  </si>
  <si>
    <t>Koszty świadczeń opieki zdrowotnej  (B2.1+...+B2.19)</t>
  </si>
  <si>
    <t>refundacja, z tego:</t>
  </si>
  <si>
    <t>Koszty administracyjne ( D1+...+D8 )</t>
  </si>
  <si>
    <t>podatki i opłaty, z tego</t>
  </si>
  <si>
    <t>ubezpieczenie społeczne i inne świadczenia, z tego:</t>
  </si>
  <si>
    <t>Składka należna brutto w roku planowania równa przypisowi składki
(1.1 + 1.2)</t>
  </si>
  <si>
    <t>Planowany odpis aktualizujący składkę należną (2.1 + 2.2)</t>
  </si>
  <si>
    <t>Przychody ze składek z lat ubiegłych (3.1+3.2)</t>
  </si>
  <si>
    <t>Koszt poboru i ewidencjonowania składek (4.1 + 4.2)</t>
  </si>
  <si>
    <t>Odpis na taryfikację świdczeń, o którym mowa w art. 31t ust. 5-8 ustawy</t>
  </si>
  <si>
    <t>Przychody netto z działalności
(1-2+3-4-5) + A1 + A2 + A3 + A4</t>
  </si>
  <si>
    <t>dotacje z budżetu państwa na finansowanie zadań, o których mowa w art. 97 ust. 3 pkt 2a, 2b, 3 i 3b ustawy</t>
  </si>
  <si>
    <t>Koszty świadczeń opieki zdrowotnej  (B2.1 + … + B2.19)</t>
  </si>
  <si>
    <t>Koszty administracyjne (D1 + … + D8)</t>
  </si>
  <si>
    <t>podatki i opłaty, z tego:</t>
  </si>
  <si>
    <t>Pozostałe koszty (F1+ … +F4)</t>
  </si>
  <si>
    <t>Przychody finansowe (G1 + G2)</t>
  </si>
  <si>
    <t>ZMIANA PLANU NARODOWEGO FUNDUSZU ZDROWIA NA 2014 R. Z DNIA 30 GRUDNIA 2014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</si>
</sst>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0_ ;[Red]\-#,##0.00\ "/>
    <numFmt numFmtId="166" formatCode="#,##0&quot; F&quot;_);[Red]\(#,##0&quot; F&quot;\)"/>
    <numFmt numFmtId="167" formatCode="#,##0.00&quot; F&quot;_);[Red]\(#,##0.00&quot; F&quot;\)"/>
    <numFmt numFmtId="168" formatCode="0.0%"/>
  </numFmts>
  <fonts count="74">
    <font>
      <sz val="10"/>
      <name val="Arial CE"/>
      <family val="0"/>
    </font>
    <font>
      <sz val="11"/>
      <color indexed="8"/>
      <name val="Calibri"/>
      <family val="2"/>
    </font>
    <font>
      <sz val="10"/>
      <name val="Times New Roman CE"/>
      <family val="1"/>
    </font>
    <font>
      <sz val="12"/>
      <name val="Times New Roman CE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8"/>
      <name val="Arial CE"/>
      <family val="0"/>
    </font>
    <font>
      <b/>
      <sz val="11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b/>
      <sz val="16"/>
      <name val="Times New Roman CE"/>
      <family val="0"/>
    </font>
    <font>
      <b/>
      <sz val="24"/>
      <name val="Times New Roman"/>
      <family val="1"/>
    </font>
    <font>
      <b/>
      <sz val="20"/>
      <name val="Verdana"/>
      <family val="2"/>
    </font>
    <font>
      <sz val="10"/>
      <name val="Verdana"/>
      <family val="2"/>
    </font>
    <font>
      <b/>
      <sz val="26"/>
      <name val="Times New Roman CE"/>
      <family val="0"/>
    </font>
    <font>
      <b/>
      <sz val="12"/>
      <name val="Times New Roman CE"/>
      <family val="1"/>
    </font>
    <font>
      <b/>
      <sz val="24"/>
      <name val="Times New Roman CE"/>
      <family val="1"/>
    </font>
    <font>
      <i/>
      <sz val="10"/>
      <name val="Times New Roman CE"/>
      <family val="0"/>
    </font>
    <font>
      <b/>
      <i/>
      <sz val="10"/>
      <name val="Times New Roman CE"/>
      <family val="0"/>
    </font>
    <font>
      <b/>
      <sz val="18"/>
      <name val="Times New Roman"/>
      <family val="1"/>
    </font>
    <font>
      <b/>
      <sz val="20"/>
      <name val="Times New Roman CE"/>
      <family val="1"/>
    </font>
    <font>
      <sz val="16"/>
      <name val="Times New Roman"/>
      <family val="1"/>
    </font>
    <font>
      <sz val="16"/>
      <name val="Times New Roman CE"/>
      <family val="0"/>
    </font>
    <font>
      <sz val="18"/>
      <name val="Times New Roman"/>
      <family val="1"/>
    </font>
    <font>
      <sz val="10"/>
      <name val="Helv"/>
      <family val="0"/>
    </font>
    <font>
      <sz val="10"/>
      <name val="MS Sans Serif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8"/>
      <name val="Times New Roman CE"/>
      <family val="0"/>
    </font>
    <font>
      <b/>
      <sz val="14"/>
      <name val="Times New Roman CE"/>
      <family val="0"/>
    </font>
    <font>
      <b/>
      <sz val="14"/>
      <name val="Times New Roman"/>
      <family val="1"/>
    </font>
    <font>
      <b/>
      <sz val="9"/>
      <name val="Times New Roman"/>
      <family val="1"/>
    </font>
    <font>
      <sz val="18"/>
      <name val="Arial CE"/>
      <family val="0"/>
    </font>
    <font>
      <b/>
      <sz val="22"/>
      <name val="Times New Roman"/>
      <family val="1"/>
    </font>
    <font>
      <sz val="8"/>
      <color indexed="8"/>
      <name val="Verdana"/>
      <family val="2"/>
    </font>
    <font>
      <b/>
      <sz val="18"/>
      <color indexed="9"/>
      <name val="Times New Roman"/>
      <family val="1"/>
    </font>
    <font>
      <sz val="16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8"/>
      <color theme="1"/>
      <name val="Verdana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8"/>
      <color theme="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164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29" borderId="4" applyNumberFormat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28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27" borderId="1" applyNumberFormat="0" applyAlignment="0" applyProtection="0"/>
    <xf numFmtId="9" fontId="0" fillId="0" borderId="0" applyFont="0" applyFill="0" applyBorder="0" applyAlignment="0" applyProtection="0"/>
    <xf numFmtId="0" fontId="26" fillId="0" borderId="0">
      <alignment/>
      <protection/>
    </xf>
    <xf numFmtId="0" fontId="68" fillId="0" borderId="8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14" fillId="33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" fillId="34" borderId="0" xfId="0" applyFont="1" applyFill="1" applyAlignment="1" applyProtection="1">
      <alignment vertical="center"/>
      <protection locked="0"/>
    </xf>
    <xf numFmtId="0" fontId="6" fillId="34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4" fillId="34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2" fillId="34" borderId="0" xfId="0" applyFont="1" applyFill="1" applyAlignment="1">
      <alignment vertical="center"/>
    </xf>
    <xf numFmtId="0" fontId="2" fillId="34" borderId="0" xfId="0" applyFont="1" applyFill="1" applyAlignment="1">
      <alignment/>
    </xf>
    <xf numFmtId="3" fontId="13" fillId="34" borderId="10" xfId="0" applyNumberFormat="1" applyFont="1" applyFill="1" applyBorder="1" applyAlignment="1">
      <alignment horizontal="right" vertical="center"/>
    </xf>
    <xf numFmtId="0" fontId="18" fillId="34" borderId="0" xfId="0" applyFont="1" applyFill="1" applyAlignment="1">
      <alignment/>
    </xf>
    <xf numFmtId="3" fontId="11" fillId="0" borderId="10" xfId="0" applyNumberFormat="1" applyFont="1" applyFill="1" applyBorder="1" applyAlignment="1">
      <alignment horizontal="right" vertical="center"/>
    </xf>
    <xf numFmtId="3" fontId="13" fillId="34" borderId="10" xfId="0" applyNumberFormat="1" applyFont="1" applyFill="1" applyBorder="1" applyAlignment="1">
      <alignment vertical="center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0" fillId="0" borderId="0" xfId="0" applyFont="1" applyFill="1" applyAlignment="1">
      <alignment vertical="center"/>
    </xf>
    <xf numFmtId="0" fontId="2" fillId="0" borderId="0" xfId="0" applyFont="1" applyFill="1" applyBorder="1" applyAlignment="1">
      <alignment/>
    </xf>
    <xf numFmtId="3" fontId="11" fillId="34" borderId="10" xfId="0" applyNumberFormat="1" applyFont="1" applyFill="1" applyBorder="1" applyAlignment="1">
      <alignment horizontal="right" vertical="center"/>
    </xf>
    <xf numFmtId="0" fontId="5" fillId="34" borderId="10" xfId="68" applyFont="1" applyFill="1" applyBorder="1" applyAlignment="1" applyProtection="1">
      <alignment horizontal="center" vertical="center" wrapText="1"/>
      <protection locked="0"/>
    </xf>
    <xf numFmtId="3" fontId="13" fillId="34" borderId="10" xfId="0" applyNumberFormat="1" applyFont="1" applyFill="1" applyBorder="1" applyAlignment="1" applyProtection="1">
      <alignment vertical="center"/>
      <protection locked="0"/>
    </xf>
    <xf numFmtId="3" fontId="10" fillId="0" borderId="10" xfId="0" applyNumberFormat="1" applyFont="1" applyFill="1" applyBorder="1" applyAlignment="1" applyProtection="1">
      <alignment vertical="center"/>
      <protection locked="0"/>
    </xf>
    <xf numFmtId="0" fontId="12" fillId="34" borderId="10" xfId="68" applyFont="1" applyFill="1" applyBorder="1" applyAlignment="1" applyProtection="1">
      <alignment horizontal="center" vertical="center" wrapText="1"/>
      <protection locked="0"/>
    </xf>
    <xf numFmtId="3" fontId="13" fillId="34" borderId="10" xfId="0" applyNumberFormat="1" applyFont="1" applyFill="1" applyBorder="1" applyAlignment="1" applyProtection="1">
      <alignment vertical="center"/>
      <protection/>
    </xf>
    <xf numFmtId="0" fontId="4" fillId="0" borderId="10" xfId="68" applyFont="1" applyFill="1" applyBorder="1" applyAlignment="1" applyProtection="1">
      <alignment horizontal="center" vertical="center" wrapText="1"/>
      <protection/>
    </xf>
    <xf numFmtId="0" fontId="23" fillId="0" borderId="10" xfId="68" applyFont="1" applyFill="1" applyBorder="1" applyAlignment="1" applyProtection="1">
      <alignment horizontal="center" vertical="center" wrapText="1"/>
      <protection/>
    </xf>
    <xf numFmtId="0" fontId="23" fillId="0" borderId="10" xfId="68" applyFont="1" applyFill="1" applyBorder="1" applyAlignment="1" applyProtection="1">
      <alignment horizontal="center" vertical="center" wrapText="1"/>
      <protection/>
    </xf>
    <xf numFmtId="0" fontId="24" fillId="0" borderId="10" xfId="68" applyFont="1" applyFill="1" applyBorder="1" applyAlignment="1" applyProtection="1">
      <alignment horizontal="center" vertical="center" wrapText="1"/>
      <protection/>
    </xf>
    <xf numFmtId="0" fontId="12" fillId="0" borderId="10" xfId="68" applyFont="1" applyFill="1" applyBorder="1" applyAlignment="1" applyProtection="1">
      <alignment horizontal="center" vertical="center" wrapText="1"/>
      <protection/>
    </xf>
    <xf numFmtId="0" fontId="12" fillId="34" borderId="10" xfId="68" applyFont="1" applyFill="1" applyBorder="1" applyAlignment="1" applyProtection="1">
      <alignment horizontal="center" vertical="center" wrapText="1"/>
      <protection/>
    </xf>
    <xf numFmtId="0" fontId="7" fillId="0" borderId="10" xfId="68" applyFont="1" applyFill="1" applyBorder="1" applyAlignment="1" applyProtection="1">
      <alignment horizontal="left" vertical="center" wrapText="1" indent="3"/>
      <protection/>
    </xf>
    <xf numFmtId="0" fontId="23" fillId="0" borderId="10" xfId="68" applyFont="1" applyFill="1" applyBorder="1" applyAlignment="1" applyProtection="1">
      <alignment horizontal="left" vertical="center" wrapText="1" indent="2"/>
      <protection/>
    </xf>
    <xf numFmtId="0" fontId="23" fillId="0" borderId="10" xfId="66" applyFont="1" applyFill="1" applyBorder="1" applyAlignment="1" applyProtection="1">
      <alignment horizontal="left" vertical="center" wrapText="1" indent="2"/>
      <protection/>
    </xf>
    <xf numFmtId="0" fontId="24" fillId="0" borderId="10" xfId="68" applyFont="1" applyFill="1" applyBorder="1" applyAlignment="1" applyProtection="1">
      <alignment horizontal="left" vertical="center" wrapText="1" indent="2"/>
      <protection/>
    </xf>
    <xf numFmtId="0" fontId="12" fillId="0" borderId="10" xfId="68" applyFont="1" applyFill="1" applyBorder="1" applyAlignment="1" applyProtection="1">
      <alignment horizontal="left" vertical="center" wrapText="1" indent="1"/>
      <protection/>
    </xf>
    <xf numFmtId="0" fontId="5" fillId="34" borderId="10" xfId="68" applyFont="1" applyFill="1" applyBorder="1" applyAlignment="1" applyProtection="1">
      <alignment horizontal="left" vertical="center" wrapText="1" indent="1"/>
      <protection/>
    </xf>
    <xf numFmtId="0" fontId="24" fillId="0" borderId="10" xfId="68" applyFont="1" applyFill="1" applyBorder="1" applyAlignment="1" applyProtection="1">
      <alignment horizontal="left" vertical="center" wrapText="1" indent="2"/>
      <protection/>
    </xf>
    <xf numFmtId="0" fontId="24" fillId="0" borderId="10" xfId="67" applyFont="1" applyFill="1" applyBorder="1" applyAlignment="1" applyProtection="1">
      <alignment horizontal="left" vertical="center" wrapText="1" indent="2"/>
      <protection/>
    </xf>
    <xf numFmtId="0" fontId="2" fillId="0" borderId="10" xfId="68" applyFont="1" applyFill="1" applyBorder="1" applyAlignment="1" applyProtection="1">
      <alignment horizontal="center" vertical="center" wrapText="1"/>
      <protection/>
    </xf>
    <xf numFmtId="0" fontId="3" fillId="0" borderId="10" xfId="67" applyFont="1" applyFill="1" applyBorder="1" applyAlignment="1" applyProtection="1">
      <alignment horizontal="left" vertical="center" wrapText="1" indent="3"/>
      <protection/>
    </xf>
    <xf numFmtId="0" fontId="3" fillId="0" borderId="10" xfId="67" applyFont="1" applyFill="1" applyBorder="1" applyAlignment="1" applyProtection="1">
      <alignment horizontal="left" vertical="center" wrapText="1" indent="4"/>
      <protection/>
    </xf>
    <xf numFmtId="0" fontId="12" fillId="34" borderId="10" xfId="68" applyFont="1" applyFill="1" applyBorder="1" applyAlignment="1" applyProtection="1">
      <alignment horizontal="left" vertical="center" wrapText="1" indent="1"/>
      <protection/>
    </xf>
    <xf numFmtId="0" fontId="12" fillId="34" borderId="10" xfId="68" applyFont="1" applyFill="1" applyBorder="1" applyAlignment="1" applyProtection="1">
      <alignment horizontal="left" vertical="center" wrapText="1" indent="1"/>
      <protection/>
    </xf>
    <xf numFmtId="49" fontId="9" fillId="34" borderId="10" xfId="66" applyNumberFormat="1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Alignment="1" applyProtection="1">
      <alignment vertical="center"/>
      <protection locked="0"/>
    </xf>
    <xf numFmtId="0" fontId="21" fillId="0" borderId="0" xfId="0" applyFont="1" applyFill="1" applyAlignment="1">
      <alignment/>
    </xf>
    <xf numFmtId="0" fontId="21" fillId="0" borderId="0" xfId="0" applyFont="1" applyFill="1" applyAlignment="1" applyProtection="1">
      <alignment vertical="center"/>
      <protection locked="0"/>
    </xf>
    <xf numFmtId="0" fontId="12" fillId="0" borderId="10" xfId="68" applyFont="1" applyFill="1" applyBorder="1" applyAlignment="1" applyProtection="1">
      <alignment horizontal="left" vertical="center" wrapText="1" indent="2"/>
      <protection/>
    </xf>
    <xf numFmtId="49" fontId="9" fillId="34" borderId="10" xfId="0" applyNumberFormat="1" applyFont="1" applyFill="1" applyBorder="1" applyAlignment="1">
      <alignment horizontal="center" vertical="center"/>
    </xf>
    <xf numFmtId="0" fontId="22" fillId="34" borderId="10" xfId="68" applyFont="1" applyFill="1" applyBorder="1" applyAlignment="1" applyProtection="1">
      <alignment horizontal="center" vertical="center" wrapText="1"/>
      <protection/>
    </xf>
    <xf numFmtId="0" fontId="22" fillId="34" borderId="10" xfId="68" applyFont="1" applyFill="1" applyBorder="1" applyAlignment="1" applyProtection="1">
      <alignment horizontal="left" vertical="center" wrapText="1" indent="1"/>
      <protection/>
    </xf>
    <xf numFmtId="0" fontId="12" fillId="0" borderId="10" xfId="68" applyFont="1" applyFill="1" applyBorder="1" applyAlignment="1" applyProtection="1">
      <alignment horizontal="center" vertical="center" wrapText="1"/>
      <protection/>
    </xf>
    <xf numFmtId="0" fontId="12" fillId="0" borderId="10" xfId="68" applyFont="1" applyFill="1" applyBorder="1" applyAlignment="1" applyProtection="1">
      <alignment horizontal="left" vertical="center" wrapText="1" indent="2"/>
      <protection/>
    </xf>
    <xf numFmtId="0" fontId="12" fillId="0" borderId="10" xfId="68" applyFont="1" applyFill="1" applyBorder="1" applyAlignment="1" applyProtection="1" quotePrefix="1">
      <alignment horizontal="center" vertical="center" wrapText="1"/>
      <protection/>
    </xf>
    <xf numFmtId="0" fontId="22" fillId="34" borderId="10" xfId="68" applyFont="1" applyFill="1" applyBorder="1" applyAlignment="1" applyProtection="1" quotePrefix="1">
      <alignment horizontal="center" vertical="center" wrapText="1"/>
      <protection/>
    </xf>
    <xf numFmtId="0" fontId="22" fillId="34" borderId="10" xfId="68" applyFont="1" applyFill="1" applyBorder="1" applyAlignment="1" applyProtection="1" quotePrefix="1">
      <alignment horizontal="left" vertical="center" wrapText="1" indent="1"/>
      <protection/>
    </xf>
    <xf numFmtId="0" fontId="12" fillId="0" borderId="10" xfId="67" applyFont="1" applyFill="1" applyBorder="1" applyAlignment="1" applyProtection="1">
      <alignment horizontal="left" vertical="center" wrapText="1" indent="2"/>
      <protection/>
    </xf>
    <xf numFmtId="0" fontId="12" fillId="0" borderId="10" xfId="67" applyFont="1" applyFill="1" applyBorder="1" applyAlignment="1" applyProtection="1" quotePrefix="1">
      <alignment horizontal="left" vertical="center" wrapText="1" indent="2"/>
      <protection/>
    </xf>
    <xf numFmtId="0" fontId="17" fillId="0" borderId="10" xfId="68" applyFont="1" applyFill="1" applyBorder="1" applyAlignment="1" applyProtection="1">
      <alignment horizontal="center" vertical="center" wrapText="1"/>
      <protection/>
    </xf>
    <xf numFmtId="0" fontId="17" fillId="0" borderId="10" xfId="68" applyFont="1" applyFill="1" applyBorder="1" applyAlignment="1" applyProtection="1">
      <alignment horizontal="left" vertical="center" wrapText="1" indent="3"/>
      <protection/>
    </xf>
    <xf numFmtId="0" fontId="17" fillId="0" borderId="10" xfId="68" applyFont="1" applyFill="1" applyBorder="1" applyAlignment="1" applyProtection="1">
      <alignment horizontal="left" vertical="center" wrapText="1" indent="2"/>
      <protection/>
    </xf>
    <xf numFmtId="0" fontId="12" fillId="34" borderId="10" xfId="68" applyFont="1" applyFill="1" applyBorder="1" applyAlignment="1" applyProtection="1">
      <alignment horizontal="left" vertical="center" wrapText="1" indent="2"/>
      <protection/>
    </xf>
    <xf numFmtId="0" fontId="12" fillId="0" borderId="10" xfId="67" applyFont="1" applyFill="1" applyBorder="1" applyAlignment="1" applyProtection="1">
      <alignment horizontal="left" vertical="center" wrapText="1" indent="2"/>
      <protection/>
    </xf>
    <xf numFmtId="0" fontId="17" fillId="0" borderId="10" xfId="68" applyFont="1" applyFill="1" applyBorder="1" applyAlignment="1" applyProtection="1">
      <alignment horizontal="center" vertical="center" wrapText="1"/>
      <protection/>
    </xf>
    <xf numFmtId="0" fontId="17" fillId="0" borderId="10" xfId="67" applyFont="1" applyFill="1" applyBorder="1" applyAlignment="1" applyProtection="1">
      <alignment horizontal="left" vertical="center" wrapText="1" indent="3"/>
      <protection/>
    </xf>
    <xf numFmtId="0" fontId="17" fillId="0" borderId="10" xfId="67" applyFont="1" applyFill="1" applyBorder="1" applyAlignment="1" applyProtection="1">
      <alignment horizontal="left" vertical="center" wrapText="1" indent="4"/>
      <protection/>
    </xf>
    <xf numFmtId="0" fontId="22" fillId="34" borderId="10" xfId="67" applyFont="1" applyFill="1" applyBorder="1" applyAlignment="1" applyProtection="1">
      <alignment horizontal="center" vertical="center" wrapText="1"/>
      <protection/>
    </xf>
    <xf numFmtId="0" fontId="22" fillId="34" borderId="10" xfId="67" applyFont="1" applyFill="1" applyBorder="1" applyAlignment="1" applyProtection="1">
      <alignment horizontal="left" vertical="center" wrapText="1" indent="1"/>
      <protection/>
    </xf>
    <xf numFmtId="0" fontId="22" fillId="34" borderId="11" xfId="67" applyFont="1" applyFill="1" applyBorder="1" applyAlignment="1" applyProtection="1">
      <alignment horizontal="left" vertical="center" wrapText="1" indent="1"/>
      <protection/>
    </xf>
    <xf numFmtId="0" fontId="22" fillId="34" borderId="11" xfId="68" applyFont="1" applyFill="1" applyBorder="1" applyAlignment="1" applyProtection="1">
      <alignment horizontal="left" vertical="center" wrapText="1" indent="1"/>
      <protection/>
    </xf>
    <xf numFmtId="3" fontId="16" fillId="34" borderId="10" xfId="0" applyNumberFormat="1" applyFont="1" applyFill="1" applyBorder="1" applyAlignment="1">
      <alignment horizontal="right" vertical="center"/>
    </xf>
    <xf numFmtId="0" fontId="25" fillId="0" borderId="0" xfId="0" applyFont="1" applyFill="1" applyAlignment="1">
      <alignment/>
    </xf>
    <xf numFmtId="0" fontId="15" fillId="0" borderId="0" xfId="0" applyFont="1" applyFill="1" applyBorder="1" applyAlignment="1" applyProtection="1">
      <alignment vertical="center"/>
      <protection locked="0"/>
    </xf>
    <xf numFmtId="3" fontId="10" fillId="0" borderId="10" xfId="0" applyNumberFormat="1" applyFont="1" applyFill="1" applyBorder="1" applyAlignment="1" applyProtection="1">
      <alignment horizontal="right" vertical="center"/>
      <protection/>
    </xf>
    <xf numFmtId="0" fontId="23" fillId="0" borderId="10" xfId="68" applyFont="1" applyFill="1" applyBorder="1" applyAlignment="1" applyProtection="1">
      <alignment horizontal="left" vertical="center" wrapText="1" indent="2"/>
      <protection/>
    </xf>
    <xf numFmtId="0" fontId="4" fillId="0" borderId="10" xfId="68" applyFont="1" applyFill="1" applyBorder="1" applyAlignment="1" applyProtection="1">
      <alignment horizontal="center" vertical="center" wrapText="1"/>
      <protection/>
    </xf>
    <xf numFmtId="3" fontId="11" fillId="35" borderId="10" xfId="0" applyNumberFormat="1" applyFont="1" applyFill="1" applyBorder="1" applyAlignment="1">
      <alignment horizontal="right" vertical="center"/>
    </xf>
    <xf numFmtId="3" fontId="10" fillId="0" borderId="10" xfId="0" applyNumberFormat="1" applyFont="1" applyFill="1" applyBorder="1" applyAlignment="1" applyProtection="1">
      <alignment horizontal="right" vertical="center"/>
      <protection locked="0"/>
    </xf>
    <xf numFmtId="3" fontId="11" fillId="0" borderId="10" xfId="0" applyNumberFormat="1" applyFont="1" applyFill="1" applyBorder="1" applyAlignment="1" applyProtection="1">
      <alignment horizontal="right" vertical="center"/>
      <protection/>
    </xf>
    <xf numFmtId="3" fontId="13" fillId="34" borderId="10" xfId="0" applyNumberFormat="1" applyFont="1" applyFill="1" applyBorder="1" applyAlignment="1" applyProtection="1">
      <alignment horizontal="right" vertical="center"/>
      <protection/>
    </xf>
    <xf numFmtId="3" fontId="11" fillId="0" borderId="10" xfId="0" applyNumberFormat="1" applyFont="1" applyFill="1" applyBorder="1" applyAlignment="1" applyProtection="1">
      <alignment horizontal="right" vertical="center"/>
      <protection locked="0"/>
    </xf>
    <xf numFmtId="3" fontId="10" fillId="0" borderId="10" xfId="0" applyNumberFormat="1" applyFont="1" applyFill="1" applyBorder="1" applyAlignment="1" applyProtection="1">
      <alignment vertical="center"/>
      <protection/>
    </xf>
    <xf numFmtId="3" fontId="4" fillId="0" borderId="0" xfId="0" applyNumberFormat="1" applyFont="1" applyFill="1" applyAlignment="1" applyProtection="1">
      <alignment vertical="center"/>
      <protection locked="0"/>
    </xf>
    <xf numFmtId="0" fontId="12" fillId="0" borderId="0" xfId="0" applyFont="1" applyFill="1" applyAlignment="1">
      <alignment horizontal="center" vertical="center"/>
    </xf>
    <xf numFmtId="0" fontId="21" fillId="33" borderId="0" xfId="0" applyFont="1" applyFill="1" applyBorder="1" applyAlignment="1" applyProtection="1">
      <alignment vertical="center"/>
      <protection locked="0"/>
    </xf>
    <xf numFmtId="0" fontId="7" fillId="0" borderId="10" xfId="68" applyFont="1" applyFill="1" applyBorder="1" applyAlignment="1" applyProtection="1">
      <alignment horizontal="left" vertical="center" wrapText="1" indent="3"/>
      <protection/>
    </xf>
    <xf numFmtId="0" fontId="4" fillId="35" borderId="0" xfId="0" applyFont="1" applyFill="1" applyAlignment="1" applyProtection="1">
      <alignment vertical="center"/>
      <protection locked="0"/>
    </xf>
    <xf numFmtId="0" fontId="21" fillId="0" borderId="0" xfId="0" applyFont="1" applyFill="1" applyBorder="1" applyAlignment="1">
      <alignment vertical="center" wrapText="1"/>
    </xf>
    <xf numFmtId="3" fontId="11" fillId="0" borderId="10" xfId="0" applyNumberFormat="1" applyFont="1" applyFill="1" applyBorder="1" applyAlignment="1" applyProtection="1">
      <alignment vertical="center"/>
      <protection/>
    </xf>
    <xf numFmtId="3" fontId="11" fillId="35" borderId="10" xfId="0" applyNumberFormat="1" applyFont="1" applyFill="1" applyBorder="1" applyAlignment="1" applyProtection="1">
      <alignment vertical="center"/>
      <protection/>
    </xf>
    <xf numFmtId="168" fontId="73" fillId="33" borderId="0" xfId="70" applyNumberFormat="1" applyFont="1" applyFill="1" applyBorder="1" applyAlignment="1" applyProtection="1">
      <alignment vertical="center"/>
      <protection locked="0"/>
    </xf>
    <xf numFmtId="168" fontId="16" fillId="34" borderId="10" xfId="0" applyNumberFormat="1" applyFont="1" applyFill="1" applyBorder="1" applyAlignment="1">
      <alignment horizontal="right" vertical="center"/>
    </xf>
    <xf numFmtId="3" fontId="10" fillId="0" borderId="10" xfId="0" applyNumberFormat="1" applyFont="1" applyFill="1" applyBorder="1" applyAlignment="1">
      <alignment horizontal="right" vertical="center"/>
    </xf>
    <xf numFmtId="10" fontId="10" fillId="0" borderId="10" xfId="0" applyNumberFormat="1" applyFont="1" applyFill="1" applyBorder="1" applyAlignment="1" applyProtection="1">
      <alignment horizontal="right" vertical="center"/>
      <protection/>
    </xf>
    <xf numFmtId="10" fontId="11" fillId="0" borderId="10" xfId="0" applyNumberFormat="1" applyFont="1" applyFill="1" applyBorder="1" applyAlignment="1" applyProtection="1">
      <alignment horizontal="right" vertical="center"/>
      <protection/>
    </xf>
    <xf numFmtId="10" fontId="13" fillId="34" borderId="10" xfId="0" applyNumberFormat="1" applyFont="1" applyFill="1" applyBorder="1" applyAlignment="1" applyProtection="1">
      <alignment horizontal="right" vertical="center"/>
      <protection locked="0"/>
    </xf>
    <xf numFmtId="10" fontId="10" fillId="0" borderId="10" xfId="0" applyNumberFormat="1" applyFont="1" applyFill="1" applyBorder="1" applyAlignment="1" applyProtection="1">
      <alignment horizontal="right" vertical="center"/>
      <protection locked="0"/>
    </xf>
    <xf numFmtId="10" fontId="13" fillId="34" borderId="10" xfId="0" applyNumberFormat="1" applyFont="1" applyFill="1" applyBorder="1" applyAlignment="1" applyProtection="1">
      <alignment horizontal="right" vertical="center"/>
      <protection/>
    </xf>
    <xf numFmtId="10" fontId="13" fillId="34" borderId="10" xfId="0" applyNumberFormat="1" applyFont="1" applyFill="1" applyBorder="1" applyAlignment="1">
      <alignment horizontal="right" vertical="center"/>
    </xf>
    <xf numFmtId="10" fontId="11" fillId="0" borderId="10" xfId="0" applyNumberFormat="1" applyFont="1" applyFill="1" applyBorder="1" applyAlignment="1">
      <alignment horizontal="right" vertical="center"/>
    </xf>
    <xf numFmtId="3" fontId="13" fillId="34" borderId="10" xfId="0" applyNumberFormat="1" applyFont="1" applyFill="1" applyBorder="1" applyAlignment="1" applyProtection="1">
      <alignment horizontal="right" vertical="center"/>
      <protection locked="0"/>
    </xf>
    <xf numFmtId="10" fontId="13" fillId="34" borderId="10" xfId="0" applyNumberFormat="1" applyFont="1" applyFill="1" applyBorder="1" applyAlignment="1" applyProtection="1">
      <alignment vertical="center"/>
      <protection locked="0"/>
    </xf>
    <xf numFmtId="10" fontId="11" fillId="34" borderId="10" xfId="0" applyNumberFormat="1" applyFont="1" applyFill="1" applyBorder="1" applyAlignment="1">
      <alignment horizontal="right" vertical="center"/>
    </xf>
    <xf numFmtId="10" fontId="16" fillId="34" borderId="10" xfId="0" applyNumberFormat="1" applyFont="1" applyFill="1" applyBorder="1" applyAlignment="1">
      <alignment horizontal="right" vertical="center"/>
    </xf>
    <xf numFmtId="0" fontId="29" fillId="0" borderId="0" xfId="0" applyFont="1" applyFill="1" applyAlignment="1" applyProtection="1">
      <alignment vertical="center" wrapText="1"/>
      <protection locked="0"/>
    </xf>
    <xf numFmtId="0" fontId="30" fillId="0" borderId="0" xfId="0" applyFont="1" applyFill="1" applyAlignment="1">
      <alignment horizontal="right" vertical="center"/>
    </xf>
    <xf numFmtId="0" fontId="31" fillId="0" borderId="0" xfId="0" applyFont="1" applyFill="1" applyAlignment="1">
      <alignment horizontal="right" vertical="center"/>
    </xf>
    <xf numFmtId="0" fontId="32" fillId="36" borderId="10" xfId="66" applyFont="1" applyFill="1" applyBorder="1" applyAlignment="1" applyProtection="1">
      <alignment horizontal="center" vertical="center" wrapText="1"/>
      <protection locked="0"/>
    </xf>
    <xf numFmtId="0" fontId="32" fillId="36" borderId="10" xfId="0" applyFont="1" applyFill="1" applyBorder="1" applyAlignment="1">
      <alignment horizontal="center" vertical="center" textRotation="90"/>
    </xf>
    <xf numFmtId="0" fontId="32" fillId="36" borderId="10" xfId="0" applyFont="1" applyFill="1" applyBorder="1" applyAlignment="1">
      <alignment horizontal="center" vertical="center" textRotation="90" wrapText="1"/>
    </xf>
    <xf numFmtId="49" fontId="33" fillId="36" borderId="10" xfId="66" applyNumberFormat="1" applyFont="1" applyFill="1" applyBorder="1" applyAlignment="1" applyProtection="1">
      <alignment horizontal="center" vertical="center" wrapText="1"/>
      <protection locked="0"/>
    </xf>
    <xf numFmtId="0" fontId="5" fillId="36" borderId="10" xfId="68" applyFont="1" applyFill="1" applyBorder="1" applyAlignment="1" applyProtection="1">
      <alignment horizontal="center" vertical="center" wrapText="1"/>
      <protection locked="0"/>
    </xf>
    <xf numFmtId="0" fontId="5" fillId="36" borderId="10" xfId="68" applyFont="1" applyFill="1" applyBorder="1" applyAlignment="1" applyProtection="1">
      <alignment horizontal="left" vertical="center" wrapText="1" indent="1"/>
      <protection/>
    </xf>
    <xf numFmtId="3" fontId="21" fillId="36" borderId="10" xfId="0" applyNumberFormat="1" applyFont="1" applyFill="1" applyBorder="1" applyAlignment="1">
      <alignment horizontal="right" vertical="center"/>
    </xf>
    <xf numFmtId="3" fontId="5" fillId="0" borderId="10" xfId="0" applyNumberFormat="1" applyFont="1" applyFill="1" applyBorder="1" applyAlignment="1" applyProtection="1">
      <alignment horizontal="right" vertical="center"/>
      <protection locked="0"/>
    </xf>
    <xf numFmtId="3" fontId="25" fillId="0" borderId="10" xfId="0" applyNumberFormat="1" applyFont="1" applyFill="1" applyBorder="1" applyAlignment="1">
      <alignment horizontal="right" vertical="center"/>
    </xf>
    <xf numFmtId="0" fontId="12" fillId="0" borderId="10" xfId="68" applyFont="1" applyFill="1" applyBorder="1" applyAlignment="1" applyProtection="1">
      <alignment horizontal="center" vertical="center" wrapText="1"/>
      <protection locked="0"/>
    </xf>
    <xf numFmtId="0" fontId="12" fillId="36" borderId="10" xfId="68" applyFont="1" applyFill="1" applyBorder="1" applyAlignment="1" applyProtection="1">
      <alignment horizontal="center" vertical="center" wrapText="1"/>
      <protection locked="0"/>
    </xf>
    <xf numFmtId="0" fontId="12" fillId="36" borderId="10" xfId="68" applyFont="1" applyFill="1" applyBorder="1" applyAlignment="1" applyProtection="1">
      <alignment horizontal="left" vertical="center" wrapText="1" indent="1"/>
      <protection/>
    </xf>
    <xf numFmtId="3" fontId="5" fillId="36" borderId="10" xfId="0" applyNumberFormat="1" applyFont="1" applyFill="1" applyBorder="1" applyAlignment="1" applyProtection="1">
      <alignment horizontal="right" vertical="center"/>
      <protection locked="0"/>
    </xf>
    <xf numFmtId="0" fontId="12" fillId="36" borderId="10" xfId="68" applyFont="1" applyFill="1" applyBorder="1" applyAlignment="1" applyProtection="1">
      <alignment horizontal="center" vertical="center" wrapText="1"/>
      <protection/>
    </xf>
    <xf numFmtId="3" fontId="12" fillId="0" borderId="0" xfId="0" applyNumberFormat="1" applyFont="1" applyFill="1" applyAlignment="1">
      <alignment horizontal="center" vertical="center"/>
    </xf>
    <xf numFmtId="0" fontId="34" fillId="0" borderId="0" xfId="0" applyFont="1" applyAlignment="1">
      <alignment/>
    </xf>
    <xf numFmtId="3" fontId="29" fillId="0" borderId="0" xfId="0" applyNumberFormat="1" applyFont="1" applyFill="1" applyAlignment="1" applyProtection="1">
      <alignment vertical="center" wrapText="1"/>
      <protection locked="0"/>
    </xf>
    <xf numFmtId="3" fontId="30" fillId="0" borderId="0" xfId="0" applyNumberFormat="1" applyFont="1" applyFill="1" applyAlignment="1">
      <alignment horizontal="right" vertical="center"/>
    </xf>
    <xf numFmtId="3" fontId="32" fillId="36" borderId="10" xfId="0" applyNumberFormat="1" applyFont="1" applyFill="1" applyBorder="1" applyAlignment="1">
      <alignment horizontal="center" vertical="center" textRotation="90"/>
    </xf>
    <xf numFmtId="3" fontId="33" fillId="36" borderId="10" xfId="66" applyNumberFormat="1" applyFont="1" applyFill="1" applyBorder="1" applyAlignment="1" applyProtection="1">
      <alignment horizontal="center" vertical="center" wrapText="1"/>
      <protection locked="0"/>
    </xf>
    <xf numFmtId="3" fontId="12" fillId="36" borderId="10" xfId="68" applyNumberFormat="1" applyFont="1" applyFill="1" applyBorder="1" applyAlignment="1" applyProtection="1">
      <alignment horizontal="right" vertical="center" wrapText="1"/>
      <protection/>
    </xf>
    <xf numFmtId="3" fontId="0" fillId="0" borderId="0" xfId="0" applyNumberFormat="1" applyAlignment="1">
      <alignment/>
    </xf>
    <xf numFmtId="3" fontId="21" fillId="0" borderId="10" xfId="0" applyNumberFormat="1" applyFont="1" applyFill="1" applyBorder="1" applyAlignment="1">
      <alignment horizontal="right" vertical="center"/>
    </xf>
    <xf numFmtId="0" fontId="21" fillId="36" borderId="10" xfId="66" applyFont="1" applyFill="1" applyBorder="1" applyAlignment="1" applyProtection="1">
      <alignment horizontal="center" vertical="center" wrapText="1"/>
      <protection locked="0"/>
    </xf>
    <xf numFmtId="0" fontId="35" fillId="0" borderId="0" xfId="0" applyFont="1" applyFill="1" applyAlignment="1" applyProtection="1">
      <alignment vertical="center"/>
      <protection locked="0"/>
    </xf>
    <xf numFmtId="3" fontId="11" fillId="0" borderId="10" xfId="0" applyNumberFormat="1" applyFont="1" applyFill="1" applyBorder="1" applyAlignment="1" applyProtection="1">
      <alignment vertical="center"/>
      <protection locked="0"/>
    </xf>
    <xf numFmtId="0" fontId="5" fillId="36" borderId="10" xfId="66" applyFont="1" applyFill="1" applyBorder="1" applyAlignment="1" applyProtection="1">
      <alignment horizontal="center" vertical="center" wrapText="1"/>
      <protection locked="0"/>
    </xf>
    <xf numFmtId="3" fontId="32" fillId="36" borderId="10" xfId="0" applyNumberFormat="1" applyFont="1" applyFill="1" applyBorder="1" applyAlignment="1">
      <alignment horizontal="center" vertical="center" textRotation="90" wrapText="1"/>
    </xf>
    <xf numFmtId="3" fontId="18" fillId="34" borderId="0" xfId="0" applyNumberFormat="1" applyFont="1" applyFill="1" applyAlignment="1">
      <alignment/>
    </xf>
    <xf numFmtId="10" fontId="11" fillId="0" borderId="11" xfId="0" applyNumberFormat="1" applyFont="1" applyFill="1" applyBorder="1" applyAlignment="1">
      <alignment horizontal="right" vertical="center"/>
    </xf>
    <xf numFmtId="3" fontId="11" fillId="0" borderId="12" xfId="0" applyNumberFormat="1" applyFont="1" applyFill="1" applyBorder="1" applyAlignment="1">
      <alignment horizontal="right" vertical="center"/>
    </xf>
    <xf numFmtId="3" fontId="11" fillId="0" borderId="0" xfId="0" applyNumberFormat="1" applyFont="1" applyFill="1" applyBorder="1" applyAlignment="1">
      <alignment horizontal="right" vertical="center"/>
    </xf>
    <xf numFmtId="0" fontId="22" fillId="0" borderId="0" xfId="0" applyFont="1" applyFill="1" applyAlignment="1">
      <alignment horizontal="right" vertical="center"/>
    </xf>
    <xf numFmtId="0" fontId="10" fillId="0" borderId="0" xfId="0" applyFont="1" applyFill="1" applyAlignment="1" applyProtection="1">
      <alignment vertical="center"/>
      <protection locked="0"/>
    </xf>
    <xf numFmtId="0" fontId="11" fillId="0" borderId="0" xfId="0" applyFont="1" applyFill="1" applyAlignment="1" applyProtection="1">
      <alignment horizontal="right" vertical="center"/>
      <protection locked="0"/>
    </xf>
    <xf numFmtId="0" fontId="38" fillId="0" borderId="0" xfId="0" applyFont="1" applyAlignment="1">
      <alignment/>
    </xf>
    <xf numFmtId="9" fontId="38" fillId="0" borderId="0" xfId="0" applyNumberFormat="1" applyFont="1" applyAlignment="1">
      <alignment/>
    </xf>
    <xf numFmtId="0" fontId="21" fillId="0" borderId="0" xfId="0" applyFont="1" applyFill="1" applyBorder="1" applyAlignment="1">
      <alignment horizontal="left" vertical="center" wrapText="1"/>
    </xf>
    <xf numFmtId="0" fontId="11" fillId="34" borderId="10" xfId="66" applyFont="1" applyFill="1" applyBorder="1" applyAlignment="1" applyProtection="1">
      <alignment horizontal="center" vertical="center" wrapText="1"/>
      <protection/>
    </xf>
    <xf numFmtId="3" fontId="22" fillId="34" borderId="13" xfId="0" applyNumberFormat="1" applyFont="1" applyFill="1" applyBorder="1" applyAlignment="1" applyProtection="1">
      <alignment horizontal="center" vertical="center" wrapText="1"/>
      <protection locked="0"/>
    </xf>
    <xf numFmtId="3" fontId="22" fillId="34" borderId="14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Fill="1" applyAlignment="1" applyProtection="1">
      <alignment horizontal="left" vertical="center" wrapText="1"/>
      <protection locked="0"/>
    </xf>
    <xf numFmtId="3" fontId="22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left" vertical="center"/>
      <protection locked="0"/>
    </xf>
  </cellXfs>
  <cellStyles count="66">
    <cellStyle name="Normal" xfId="0"/>
    <cellStyle name="_PERSONAL" xfId="15"/>
    <cellStyle name="_PERSONAL_1" xfId="16"/>
    <cellStyle name="_PERSONAL_1_dialKartaDziałkiczI (2)" xfId="17"/>
    <cellStyle name="_PERSONAL_1_dialTabelaIDSP (2)" xfId="18"/>
    <cellStyle name="_PERSONAL_1_dialTabelaIIAIWO (2)" xfId="19"/>
    <cellStyle name="_PERSONAL_1_EDUKACJA" xfId="20"/>
    <cellStyle name="_PERSONAL_1_Tabela wskaźników" xfId="21"/>
    <cellStyle name="_PERSONAL_1_Zeszyt3" xfId="22"/>
    <cellStyle name="20% - akcent 1" xfId="23"/>
    <cellStyle name="20% - akcent 2" xfId="24"/>
    <cellStyle name="20% - akcent 3" xfId="25"/>
    <cellStyle name="20% - akcent 4" xfId="26"/>
    <cellStyle name="20% - akcent 5" xfId="27"/>
    <cellStyle name="20% - akcent 6" xfId="28"/>
    <cellStyle name="40% - akcent 1" xfId="29"/>
    <cellStyle name="40% - akcent 2" xfId="30"/>
    <cellStyle name="40% - akcent 3" xfId="31"/>
    <cellStyle name="40% - akcent 4" xfId="32"/>
    <cellStyle name="40% - akcent 5" xfId="33"/>
    <cellStyle name="40% - akcent 6" xfId="34"/>
    <cellStyle name="60% - akcent 1" xfId="35"/>
    <cellStyle name="60% - akcent 2" xfId="36"/>
    <cellStyle name="60% - akcent 3" xfId="37"/>
    <cellStyle name="60% - akcent 4" xfId="38"/>
    <cellStyle name="60% - akcent 5" xfId="39"/>
    <cellStyle name="60% - akcent 6" xfId="40"/>
    <cellStyle name="Akcent 1" xfId="41"/>
    <cellStyle name="Akcent 2" xfId="42"/>
    <cellStyle name="Akcent 3" xfId="43"/>
    <cellStyle name="Akcent 4" xfId="44"/>
    <cellStyle name="Akcent 5" xfId="45"/>
    <cellStyle name="Akcent 6" xfId="46"/>
    <cellStyle name="Comma [0]_laroux" xfId="47"/>
    <cellStyle name="Comma_laroux" xfId="48"/>
    <cellStyle name="Currency [0]_laroux" xfId="49"/>
    <cellStyle name="Currency_laroux" xfId="50"/>
    <cellStyle name="Dane wejściowe" xfId="51"/>
    <cellStyle name="Dane wyjściowe" xfId="52"/>
    <cellStyle name="Dobre" xfId="53"/>
    <cellStyle name="Comma" xfId="54"/>
    <cellStyle name="Comma [0]" xfId="55"/>
    <cellStyle name="Dziesiętny 2" xfId="56"/>
    <cellStyle name="Komórka połączona" xfId="57"/>
    <cellStyle name="Komórka zaznaczona" xfId="58"/>
    <cellStyle name="Nagłówek 1" xfId="59"/>
    <cellStyle name="Nagłówek 2" xfId="60"/>
    <cellStyle name="Nagłówek 3" xfId="61"/>
    <cellStyle name="Nagłówek 4" xfId="62"/>
    <cellStyle name="Neutralne" xfId="63"/>
    <cellStyle name="Normal_laroux" xfId="64"/>
    <cellStyle name="normální_laroux" xfId="65"/>
    <cellStyle name="Normalny_03PlFin_0403" xfId="66"/>
    <cellStyle name="Normalny_WfMgkr1" xfId="67"/>
    <cellStyle name="Normalny_Wzór z 09.10.2001" xfId="68"/>
    <cellStyle name="Obliczenia" xfId="69"/>
    <cellStyle name="Percent" xfId="70"/>
    <cellStyle name="Styl 1" xfId="71"/>
    <cellStyle name="Suma" xfId="72"/>
    <cellStyle name="Tekst objaśnienia" xfId="73"/>
    <cellStyle name="Tekst ostrzeżenia" xfId="74"/>
    <cellStyle name="Tytuł" xfId="75"/>
    <cellStyle name="Uwaga" xfId="76"/>
    <cellStyle name="Currency" xfId="77"/>
    <cellStyle name="Currency [0]" xfId="78"/>
    <cellStyle name="Złe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externalLink" Target="externalLinks/externalLink2.xml" /><Relationship Id="rId26" Type="http://schemas.openxmlformats.org/officeDocument/2006/relationships/externalLink" Target="externalLinks/externalLink3.xml" /><Relationship Id="rId27" Type="http://schemas.openxmlformats.org/officeDocument/2006/relationships/externalLink" Target="externalLinks/externalLink4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Y1\d\Baza%20Danych%201999\Plany%20Finansowe\Ok\17P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atarzyna.sadowska\Ustawienia%20lokalne\Temporary%20Internet%20Files\OLK78\Baza%20Danych%201999\Plany%20Finansowe\Ok\17P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Y1\d\Baza%20Danych%201999\Plany%20Finansowe\Ok\01p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dyta\2014\Przesuni&#281;cia\2014\Pa&#378;dziernik\10.10.2014%20&#347;w\&#347;w%2010.10.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"/>
      <sheetName val="17PW"/>
      <sheetName val="01pw"/>
      <sheetName val="Zarz. Min. Zdr."/>
      <sheetName val="Zarz. Min. Zdr. kontraktowanie"/>
      <sheetName val="Propozycje zmian"/>
      <sheetName val="Zakontraktowanie"/>
      <sheetName val="Porozumienie Zielonogórski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lan"/>
      <sheetName val="17PW"/>
      <sheetName val="01pw"/>
      <sheetName val="Zarz. Min. Zdr."/>
      <sheetName val="Zarz. Min. Zdr. kontraktowanie"/>
      <sheetName val="Propozycje zmian"/>
      <sheetName val="Zakontraktowanie"/>
      <sheetName val="Porozumienie Zielonogórski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lan"/>
      <sheetName val="01pw"/>
      <sheetName val="01pw.xls"/>
    </sheetNames>
    <definedNames>
      <definedName name="PETLA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NFZ"/>
      <sheetName val="CENTRALA"/>
      <sheetName val="Razem OW"/>
      <sheetName val="Dolnośląski"/>
      <sheetName val="KujawskoPomorski"/>
      <sheetName val="Lubelski"/>
      <sheetName val="Lubuski"/>
      <sheetName val="Łódzki"/>
      <sheetName val="Małopolski"/>
      <sheetName val="Mazowiecki"/>
      <sheetName val="Opolski"/>
      <sheetName val="Podkarpacki"/>
      <sheetName val="Podlaski"/>
      <sheetName val="Pomorski"/>
      <sheetName val="Śląski"/>
      <sheetName val="Świętokrzyski"/>
      <sheetName val="WarmińskoMazurski"/>
      <sheetName val="Wielkopolski"/>
      <sheetName val="Zachodniopomorski"/>
      <sheetName val="Łącznie"/>
      <sheetName val="Plan po zm. łącznie  NFZ"/>
    </sheetNames>
    <sheetDataSet>
      <sheetData sheetId="0">
        <row r="11">
          <cell r="D11">
            <v>0</v>
          </cell>
        </row>
        <row r="12">
          <cell r="D12">
            <v>0</v>
          </cell>
        </row>
        <row r="14">
          <cell r="D14">
            <v>100000</v>
          </cell>
        </row>
        <row r="15">
          <cell r="D15">
            <v>0</v>
          </cell>
        </row>
        <row r="20">
          <cell r="D20">
            <v>131309</v>
          </cell>
        </row>
        <row r="21">
          <cell r="D21">
            <v>0</v>
          </cell>
        </row>
        <row r="22">
          <cell r="D22">
            <v>183204</v>
          </cell>
        </row>
        <row r="23">
          <cell r="D23">
            <v>1839959</v>
          </cell>
        </row>
        <row r="25">
          <cell r="D25">
            <v>634793</v>
          </cell>
        </row>
        <row r="90">
          <cell r="D90">
            <v>0</v>
          </cell>
        </row>
        <row r="91">
          <cell r="D91">
            <v>0</v>
          </cell>
        </row>
        <row r="93">
          <cell r="D9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9"/>
  <sheetViews>
    <sheetView showGridLines="0" tabSelected="1" view="pageBreakPreview" zoomScale="55" zoomScaleNormal="55" zoomScaleSheetLayoutView="55" zoomScalePageLayoutView="0" workbookViewId="0" topLeftCell="A1">
      <pane xSplit="2" ySplit="6" topLeftCell="C7" activePane="bottomRight" state="frozen"/>
      <selection pane="topLeft" activeCell="G1" sqref="G1:S65536"/>
      <selection pane="topRight" activeCell="G1" sqref="G1:S65536"/>
      <selection pane="bottomLeft" activeCell="G1" sqref="G1:S65536"/>
      <selection pane="bottomRight" activeCell="G1" sqref="G1:S65536"/>
    </sheetView>
  </sheetViews>
  <sheetFormatPr defaultColWidth="9.00390625" defaultRowHeight="12.75"/>
  <cols>
    <col min="1" max="1" width="10.375" style="21" customWidth="1"/>
    <col min="2" max="2" width="125.875" style="21" customWidth="1"/>
    <col min="3" max="3" width="26.75390625" style="7" customWidth="1"/>
    <col min="4" max="4" width="26.875" style="7" customWidth="1"/>
    <col min="5" max="5" width="23.625" style="7" customWidth="1"/>
    <col min="6" max="6" width="20.75390625" style="7" customWidth="1"/>
    <col min="7" max="7" width="24.625" style="7" customWidth="1"/>
    <col min="8" max="8" width="24.375" style="7" customWidth="1"/>
    <col min="9" max="16384" width="9.125" style="7" customWidth="1"/>
  </cols>
  <sheetData>
    <row r="1" spans="1:6" s="75" customFormat="1" ht="38.25" customHeight="1">
      <c r="A1" s="152" t="s">
        <v>265</v>
      </c>
      <c r="B1" s="152"/>
      <c r="C1" s="152"/>
      <c r="D1" s="152"/>
      <c r="E1" s="152"/>
      <c r="F1" s="152"/>
    </row>
    <row r="2" spans="1:3" s="49" customFormat="1" ht="35.25" customHeight="1">
      <c r="A2" s="148" t="s">
        <v>188</v>
      </c>
      <c r="B2" s="148"/>
      <c r="C2" s="91"/>
    </row>
    <row r="3" spans="1:5" s="10" customFormat="1" ht="36" customHeight="1">
      <c r="A3" s="8"/>
      <c r="B3" s="9"/>
      <c r="C3" s="87"/>
      <c r="D3" s="87"/>
      <c r="E3" s="87" t="s">
        <v>159</v>
      </c>
    </row>
    <row r="4" spans="1:6" s="11" customFormat="1" ht="38.25" customHeight="1">
      <c r="A4" s="149" t="s">
        <v>132</v>
      </c>
      <c r="B4" s="149" t="s">
        <v>55</v>
      </c>
      <c r="C4" s="150" t="s">
        <v>236</v>
      </c>
      <c r="D4" s="150" t="s">
        <v>191</v>
      </c>
      <c r="E4" s="153" t="s">
        <v>192</v>
      </c>
      <c r="F4" s="153" t="s">
        <v>193</v>
      </c>
    </row>
    <row r="5" spans="1:6" s="11" customFormat="1" ht="49.5" customHeight="1">
      <c r="A5" s="149"/>
      <c r="B5" s="149"/>
      <c r="C5" s="151"/>
      <c r="D5" s="151"/>
      <c r="E5" s="153"/>
      <c r="F5" s="153"/>
    </row>
    <row r="6" spans="1:6" s="12" customFormat="1" ht="19.5" customHeight="1">
      <c r="A6" s="47">
        <v>1</v>
      </c>
      <c r="B6" s="52">
        <v>2</v>
      </c>
      <c r="C6" s="47">
        <v>3</v>
      </c>
      <c r="D6" s="52">
        <v>4</v>
      </c>
      <c r="E6" s="47">
        <v>5</v>
      </c>
      <c r="F6" s="52">
        <v>6</v>
      </c>
    </row>
    <row r="7" spans="1:8" s="14" customFormat="1" ht="63.75" customHeight="1">
      <c r="A7" s="53">
        <v>1</v>
      </c>
      <c r="B7" s="54" t="s">
        <v>253</v>
      </c>
      <c r="C7" s="13">
        <f>C8+C9</f>
        <v>64302927</v>
      </c>
      <c r="D7" s="13">
        <f>D8+D9</f>
        <v>64302927</v>
      </c>
      <c r="E7" s="13" t="str">
        <f>IF(C7=D7,"-",D7-C7)</f>
        <v>-</v>
      </c>
      <c r="F7" s="102">
        <f>IF(C7=0,"-",D7/C7)</f>
        <v>1</v>
      </c>
      <c r="H7" s="139"/>
    </row>
    <row r="8" spans="1:8" ht="30" customHeight="1">
      <c r="A8" s="55" t="s">
        <v>78</v>
      </c>
      <c r="B8" s="56" t="s">
        <v>79</v>
      </c>
      <c r="C8" s="15">
        <v>61054203</v>
      </c>
      <c r="D8" s="15">
        <f>C8</f>
        <v>61054203</v>
      </c>
      <c r="E8" s="15" t="str">
        <f aca="true" t="shared" si="0" ref="E8:E80">IF(C8=D8,"-",D8-C8)</f>
        <v>-</v>
      </c>
      <c r="F8" s="103">
        <f aca="true" t="shared" si="1" ref="F8:F80">IF(C8=0,"-",D8/C8)</f>
        <v>1</v>
      </c>
      <c r="H8" s="139"/>
    </row>
    <row r="9" spans="1:8" ht="30" customHeight="1">
      <c r="A9" s="55" t="s">
        <v>80</v>
      </c>
      <c r="B9" s="56" t="s">
        <v>81</v>
      </c>
      <c r="C9" s="15">
        <v>3248724</v>
      </c>
      <c r="D9" s="15">
        <f>C9</f>
        <v>3248724</v>
      </c>
      <c r="E9" s="15" t="str">
        <f t="shared" si="0"/>
        <v>-</v>
      </c>
      <c r="F9" s="103">
        <f t="shared" si="1"/>
        <v>1</v>
      </c>
      <c r="H9" s="139"/>
    </row>
    <row r="10" spans="1:8" s="14" customFormat="1" ht="39" customHeight="1">
      <c r="A10" s="53">
        <v>2</v>
      </c>
      <c r="B10" s="54" t="s">
        <v>254</v>
      </c>
      <c r="C10" s="13">
        <v>0</v>
      </c>
      <c r="D10" s="13">
        <f>D11+D12</f>
        <v>0</v>
      </c>
      <c r="E10" s="13" t="str">
        <f t="shared" si="0"/>
        <v>-</v>
      </c>
      <c r="F10" s="102" t="str">
        <f t="shared" si="1"/>
        <v>-</v>
      </c>
      <c r="H10" s="139"/>
    </row>
    <row r="11" spans="1:8" ht="30" customHeight="1">
      <c r="A11" s="55" t="s">
        <v>82</v>
      </c>
      <c r="B11" s="56" t="s">
        <v>83</v>
      </c>
      <c r="C11" s="15">
        <f>'[4]NFZ'!$D11</f>
        <v>0</v>
      </c>
      <c r="D11" s="15">
        <f>C11</f>
        <v>0</v>
      </c>
      <c r="E11" s="15" t="str">
        <f t="shared" si="0"/>
        <v>-</v>
      </c>
      <c r="F11" s="103" t="str">
        <f t="shared" si="1"/>
        <v>-</v>
      </c>
      <c r="H11" s="139"/>
    </row>
    <row r="12" spans="1:8" ht="30" customHeight="1">
      <c r="A12" s="55" t="s">
        <v>84</v>
      </c>
      <c r="B12" s="56" t="s">
        <v>85</v>
      </c>
      <c r="C12" s="15">
        <f>'[4]NFZ'!$D12</f>
        <v>0</v>
      </c>
      <c r="D12" s="15">
        <f>C12</f>
        <v>0</v>
      </c>
      <c r="E12" s="15" t="str">
        <f t="shared" si="0"/>
        <v>-</v>
      </c>
      <c r="F12" s="103" t="str">
        <f t="shared" si="1"/>
        <v>-</v>
      </c>
      <c r="H12" s="139"/>
    </row>
    <row r="13" spans="1:8" s="14" customFormat="1" ht="39.75" customHeight="1">
      <c r="A13" s="53">
        <v>3</v>
      </c>
      <c r="B13" s="54" t="s">
        <v>255</v>
      </c>
      <c r="C13" s="13">
        <f>C14+C15</f>
        <v>100000</v>
      </c>
      <c r="D13" s="13">
        <f>D14+D15</f>
        <v>100000</v>
      </c>
      <c r="E13" s="13" t="str">
        <f t="shared" si="0"/>
        <v>-</v>
      </c>
      <c r="F13" s="102">
        <f t="shared" si="1"/>
        <v>1</v>
      </c>
      <c r="H13" s="139"/>
    </row>
    <row r="14" spans="1:8" ht="30" customHeight="1">
      <c r="A14" s="55" t="s">
        <v>86</v>
      </c>
      <c r="B14" s="56" t="s">
        <v>79</v>
      </c>
      <c r="C14" s="15">
        <f>'[4]NFZ'!$D14</f>
        <v>100000</v>
      </c>
      <c r="D14" s="15">
        <f>C14</f>
        <v>100000</v>
      </c>
      <c r="E14" s="15" t="str">
        <f t="shared" si="0"/>
        <v>-</v>
      </c>
      <c r="F14" s="103">
        <f t="shared" si="1"/>
        <v>1</v>
      </c>
      <c r="H14" s="139"/>
    </row>
    <row r="15" spans="1:8" ht="30" customHeight="1">
      <c r="A15" s="55" t="s">
        <v>87</v>
      </c>
      <c r="B15" s="56" t="s">
        <v>81</v>
      </c>
      <c r="C15" s="15">
        <f>'[4]NFZ'!$D15</f>
        <v>0</v>
      </c>
      <c r="D15" s="15">
        <f>C15</f>
        <v>0</v>
      </c>
      <c r="E15" s="15" t="str">
        <f t="shared" si="0"/>
        <v>-</v>
      </c>
      <c r="F15" s="103" t="str">
        <f t="shared" si="1"/>
        <v>-</v>
      </c>
      <c r="H15" s="139"/>
    </row>
    <row r="16" spans="1:8" s="14" customFormat="1" ht="39" customHeight="1">
      <c r="A16" s="53">
        <v>4</v>
      </c>
      <c r="B16" s="54" t="s">
        <v>256</v>
      </c>
      <c r="C16" s="13">
        <f>C17+C18</f>
        <v>123660</v>
      </c>
      <c r="D16" s="13">
        <f>D17+D18</f>
        <v>123660</v>
      </c>
      <c r="E16" s="13" t="str">
        <f t="shared" si="0"/>
        <v>-</v>
      </c>
      <c r="F16" s="102">
        <f t="shared" si="1"/>
        <v>1</v>
      </c>
      <c r="H16" s="139"/>
    </row>
    <row r="17" spans="1:8" ht="30" customHeight="1">
      <c r="A17" s="57" t="s">
        <v>88</v>
      </c>
      <c r="B17" s="56" t="s">
        <v>89</v>
      </c>
      <c r="C17" s="15">
        <v>120887</v>
      </c>
      <c r="D17" s="15">
        <f>ROUND((D8-D11)*0.99*0.002,0)</f>
        <v>120887</v>
      </c>
      <c r="E17" s="15" t="str">
        <f t="shared" si="0"/>
        <v>-</v>
      </c>
      <c r="F17" s="103">
        <f t="shared" si="1"/>
        <v>1</v>
      </c>
      <c r="H17" s="139"/>
    </row>
    <row r="18" spans="1:8" ht="30" customHeight="1">
      <c r="A18" s="57" t="s">
        <v>90</v>
      </c>
      <c r="B18" s="56" t="s">
        <v>91</v>
      </c>
      <c r="C18" s="15">
        <v>2773</v>
      </c>
      <c r="D18" s="15">
        <f>C18</f>
        <v>2773</v>
      </c>
      <c r="E18" s="80" t="str">
        <f t="shared" si="0"/>
        <v>-</v>
      </c>
      <c r="F18" s="103">
        <f t="shared" si="1"/>
        <v>1</v>
      </c>
      <c r="H18" s="139"/>
    </row>
    <row r="19" spans="1:8" ht="30" customHeight="1">
      <c r="A19" s="53">
        <v>5</v>
      </c>
      <c r="B19" s="53" t="s">
        <v>257</v>
      </c>
      <c r="C19" s="13">
        <v>0</v>
      </c>
      <c r="D19" s="13">
        <f>C19</f>
        <v>0</v>
      </c>
      <c r="E19" s="13" t="str">
        <f>IF(C19=D19,"-",D19-C19)</f>
        <v>-</v>
      </c>
      <c r="F19" s="102" t="str">
        <f>IF(C19=0,"-",D19/C19)</f>
        <v>-</v>
      </c>
      <c r="H19" s="139"/>
    </row>
    <row r="20" spans="1:8" s="14" customFormat="1" ht="63.75" customHeight="1">
      <c r="A20" s="58" t="s">
        <v>144</v>
      </c>
      <c r="B20" s="59" t="s">
        <v>258</v>
      </c>
      <c r="C20" s="13">
        <f>(C7-C10+C13-C16-C19)+C21+C22+C23+C24</f>
        <v>66433739</v>
      </c>
      <c r="D20" s="13">
        <f>(D7-D10+D13-D16-D19)+D21+D22+D23+D24</f>
        <v>66433739</v>
      </c>
      <c r="E20" s="13" t="str">
        <f t="shared" si="0"/>
        <v>-</v>
      </c>
      <c r="F20" s="102">
        <f t="shared" si="1"/>
        <v>1</v>
      </c>
      <c r="H20" s="139"/>
    </row>
    <row r="21" spans="1:8" ht="31.5" customHeight="1">
      <c r="A21" s="55" t="s">
        <v>92</v>
      </c>
      <c r="B21" s="60" t="s">
        <v>93</v>
      </c>
      <c r="C21" s="15">
        <f>'[4]NFZ'!$D20</f>
        <v>131309</v>
      </c>
      <c r="D21" s="15">
        <f>C21</f>
        <v>131309</v>
      </c>
      <c r="E21" s="15" t="str">
        <f t="shared" si="0"/>
        <v>-</v>
      </c>
      <c r="F21" s="103">
        <f t="shared" si="1"/>
        <v>1</v>
      </c>
      <c r="H21" s="139"/>
    </row>
    <row r="22" spans="1:8" ht="31.5" customHeight="1">
      <c r="A22" s="55" t="s">
        <v>94</v>
      </c>
      <c r="B22" s="60" t="s">
        <v>95</v>
      </c>
      <c r="C22" s="15">
        <f>'[4]NFZ'!$D21</f>
        <v>0</v>
      </c>
      <c r="D22" s="15">
        <f>C22</f>
        <v>0</v>
      </c>
      <c r="E22" s="15" t="str">
        <f t="shared" si="0"/>
        <v>-</v>
      </c>
      <c r="F22" s="103" t="str">
        <f t="shared" si="1"/>
        <v>-</v>
      </c>
      <c r="H22" s="139"/>
    </row>
    <row r="23" spans="1:8" ht="50.25" customHeight="1">
      <c r="A23" s="55" t="s">
        <v>96</v>
      </c>
      <c r="B23" s="60" t="s">
        <v>259</v>
      </c>
      <c r="C23" s="15">
        <f>'[4]NFZ'!$D22</f>
        <v>183204</v>
      </c>
      <c r="D23" s="15">
        <f>C23</f>
        <v>183204</v>
      </c>
      <c r="E23" s="15" t="str">
        <f t="shared" si="0"/>
        <v>-</v>
      </c>
      <c r="F23" s="103">
        <f t="shared" si="1"/>
        <v>1</v>
      </c>
      <c r="H23" s="139"/>
    </row>
    <row r="24" spans="1:8" ht="31.5" customHeight="1">
      <c r="A24" s="55" t="s">
        <v>97</v>
      </c>
      <c r="B24" s="61" t="s">
        <v>98</v>
      </c>
      <c r="C24" s="15">
        <f>'[4]NFZ'!$D23</f>
        <v>1839959</v>
      </c>
      <c r="D24" s="15">
        <f>C24</f>
        <v>1839959</v>
      </c>
      <c r="E24" s="15" t="str">
        <f t="shared" si="0"/>
        <v>-</v>
      </c>
      <c r="F24" s="103">
        <f t="shared" si="1"/>
        <v>1</v>
      </c>
      <c r="H24" s="139"/>
    </row>
    <row r="25" spans="1:8" s="14" customFormat="1" ht="36" customHeight="1">
      <c r="A25" s="58" t="s">
        <v>145</v>
      </c>
      <c r="B25" s="59" t="s">
        <v>128</v>
      </c>
      <c r="C25" s="13">
        <f>C26+C27+C55+C56</f>
        <v>66925483</v>
      </c>
      <c r="D25" s="13">
        <f>D26+D27+D55+D56</f>
        <v>66991947</v>
      </c>
      <c r="E25" s="13">
        <f t="shared" si="0"/>
        <v>66464</v>
      </c>
      <c r="F25" s="102">
        <f t="shared" si="1"/>
        <v>1.001</v>
      </c>
      <c r="H25" s="139"/>
    </row>
    <row r="26" spans="1:8" s="14" customFormat="1" ht="36" customHeight="1">
      <c r="A26" s="58" t="s">
        <v>99</v>
      </c>
      <c r="B26" s="59" t="s">
        <v>100</v>
      </c>
      <c r="C26" s="13">
        <f>'[4]NFZ'!$D25</f>
        <v>634793</v>
      </c>
      <c r="D26" s="13">
        <f>C26</f>
        <v>634793</v>
      </c>
      <c r="E26" s="13" t="str">
        <f t="shared" si="0"/>
        <v>-</v>
      </c>
      <c r="F26" s="102">
        <f t="shared" si="1"/>
        <v>1</v>
      </c>
      <c r="H26" s="139"/>
    </row>
    <row r="27" spans="1:8" s="14" customFormat="1" ht="36" customHeight="1">
      <c r="A27" s="58" t="s">
        <v>0</v>
      </c>
      <c r="B27" s="59" t="s">
        <v>260</v>
      </c>
      <c r="C27" s="24">
        <f>C28+C29+C30+C35+C36+C37+C38+C39+C40+C41+C42+C43+C44+C45+C49+C50+C52+C53+C54</f>
        <v>64450731</v>
      </c>
      <c r="D27" s="24">
        <f>D28+D29+D30+D35+D36+D37+D38+D39+D40+D41+D42+D43+D44+D45+D49+D50+D52+D53+D54</f>
        <v>64517195</v>
      </c>
      <c r="E27" s="104">
        <f>IF(C27=D27,"-",D27-C27)</f>
        <v>66464</v>
      </c>
      <c r="F27" s="105">
        <f t="shared" si="1"/>
        <v>1.001</v>
      </c>
      <c r="H27" s="139"/>
    </row>
    <row r="28" spans="1:8" ht="30" customHeight="1">
      <c r="A28" s="62" t="s">
        <v>1</v>
      </c>
      <c r="B28" s="64" t="s">
        <v>133</v>
      </c>
      <c r="C28" s="15">
        <f>CENTRALA!C8+'Razem OW'!C8</f>
        <v>7725799</v>
      </c>
      <c r="D28" s="15">
        <f>CENTRALA!D8+'Razem OW'!D8</f>
        <v>7727318</v>
      </c>
      <c r="E28" s="80">
        <f t="shared" si="0"/>
        <v>1519</v>
      </c>
      <c r="F28" s="140">
        <f t="shared" si="1"/>
        <v>1.0002</v>
      </c>
      <c r="G28" s="141"/>
      <c r="H28" s="139"/>
    </row>
    <row r="29" spans="1:8" ht="30" customHeight="1">
      <c r="A29" s="62" t="s">
        <v>2</v>
      </c>
      <c r="B29" s="64" t="s">
        <v>134</v>
      </c>
      <c r="C29" s="15">
        <f>CENTRALA!C9+'Razem OW'!C9</f>
        <v>5540596</v>
      </c>
      <c r="D29" s="15">
        <f>CENTRALA!D9+'Razem OW'!D9</f>
        <v>5540596</v>
      </c>
      <c r="E29" s="80" t="str">
        <f>IF(C29=D29,"-",D29-C29)</f>
        <v>-</v>
      </c>
      <c r="F29" s="140">
        <f t="shared" si="1"/>
        <v>1</v>
      </c>
      <c r="G29" s="141"/>
      <c r="H29" s="139"/>
    </row>
    <row r="30" spans="1:8" ht="30" customHeight="1">
      <c r="A30" s="62" t="s">
        <v>3</v>
      </c>
      <c r="B30" s="64" t="s">
        <v>131</v>
      </c>
      <c r="C30" s="15">
        <f>CENTRALA!C10+'Razem OW'!C10</f>
        <v>31049560</v>
      </c>
      <c r="D30" s="80">
        <f>CENTRALA!D10+'Razem OW'!D10</f>
        <v>31101102</v>
      </c>
      <c r="E30" s="80">
        <f t="shared" si="0"/>
        <v>51542</v>
      </c>
      <c r="F30" s="140">
        <f t="shared" si="1"/>
        <v>1.0017</v>
      </c>
      <c r="G30" s="141"/>
      <c r="H30" s="139"/>
    </row>
    <row r="31" spans="1:8" ht="30" customHeight="1">
      <c r="A31" s="62" t="s">
        <v>57</v>
      </c>
      <c r="B31" s="63" t="s">
        <v>160</v>
      </c>
      <c r="C31" s="15">
        <f>CENTRALA!C11+'Razem OW'!C11</f>
        <v>2641319</v>
      </c>
      <c r="D31" s="15">
        <f>CENTRALA!D11+'Razem OW'!D11</f>
        <v>2641319</v>
      </c>
      <c r="E31" s="80" t="str">
        <f t="shared" si="0"/>
        <v>-</v>
      </c>
      <c r="F31" s="140">
        <f t="shared" si="1"/>
        <v>1</v>
      </c>
      <c r="G31" s="141"/>
      <c r="H31" s="139"/>
    </row>
    <row r="32" spans="1:8" ht="30" customHeight="1">
      <c r="A32" s="62" t="s">
        <v>161</v>
      </c>
      <c r="B32" s="63" t="s">
        <v>164</v>
      </c>
      <c r="C32" s="15">
        <f>CENTRALA!C12+'Razem OW'!C12</f>
        <v>2417446</v>
      </c>
      <c r="D32" s="15">
        <f>CENTRALA!D12+'Razem OW'!D12</f>
        <v>2417446</v>
      </c>
      <c r="E32" s="80" t="str">
        <f t="shared" si="0"/>
        <v>-</v>
      </c>
      <c r="F32" s="140">
        <f t="shared" si="1"/>
        <v>1</v>
      </c>
      <c r="G32" s="141"/>
      <c r="H32" s="139"/>
    </row>
    <row r="33" spans="1:8" ht="30" customHeight="1">
      <c r="A33" s="62" t="s">
        <v>162</v>
      </c>
      <c r="B33" s="63" t="s">
        <v>165</v>
      </c>
      <c r="C33" s="15">
        <f>CENTRALA!C13+'Razem OW'!C13</f>
        <v>1349137</v>
      </c>
      <c r="D33" s="15">
        <f>CENTRALA!D13+'Razem OW'!D13</f>
        <v>1349137</v>
      </c>
      <c r="E33" s="80" t="str">
        <f t="shared" si="0"/>
        <v>-</v>
      </c>
      <c r="F33" s="140">
        <f t="shared" si="1"/>
        <v>1</v>
      </c>
      <c r="G33" s="141"/>
      <c r="H33" s="139"/>
    </row>
    <row r="34" spans="1:8" ht="30" customHeight="1">
      <c r="A34" s="62" t="s">
        <v>163</v>
      </c>
      <c r="B34" s="63" t="s">
        <v>166</v>
      </c>
      <c r="C34" s="15">
        <f>CENTRALA!C14+'Razem OW'!C14</f>
        <v>544741</v>
      </c>
      <c r="D34" s="15">
        <f>CENTRALA!D14+'Razem OW'!D14</f>
        <v>544741</v>
      </c>
      <c r="E34" s="80" t="str">
        <f t="shared" si="0"/>
        <v>-</v>
      </c>
      <c r="F34" s="140">
        <f t="shared" si="1"/>
        <v>1</v>
      </c>
      <c r="G34" s="141"/>
      <c r="H34" s="139"/>
    </row>
    <row r="35" spans="1:8" ht="30" customHeight="1">
      <c r="A35" s="62" t="s">
        <v>4</v>
      </c>
      <c r="B35" s="64" t="s">
        <v>139</v>
      </c>
      <c r="C35" s="15">
        <f>CENTRALA!C15+'Razem OW'!C15</f>
        <v>2331169</v>
      </c>
      <c r="D35" s="15">
        <f>CENTRALA!D15+'Razem OW'!D15</f>
        <v>2332816</v>
      </c>
      <c r="E35" s="80">
        <f t="shared" si="0"/>
        <v>1647</v>
      </c>
      <c r="F35" s="140">
        <f t="shared" si="1"/>
        <v>1.0007</v>
      </c>
      <c r="G35" s="141"/>
      <c r="H35" s="139"/>
    </row>
    <row r="36" spans="1:8" ht="30" customHeight="1">
      <c r="A36" s="62" t="s">
        <v>5</v>
      </c>
      <c r="B36" s="64" t="s">
        <v>135</v>
      </c>
      <c r="C36" s="15">
        <f>CENTRALA!C16+'Razem OW'!C16</f>
        <v>2096300</v>
      </c>
      <c r="D36" s="15">
        <f>CENTRALA!D16+'Razem OW'!D16</f>
        <v>2096300</v>
      </c>
      <c r="E36" s="80" t="str">
        <f t="shared" si="0"/>
        <v>-</v>
      </c>
      <c r="F36" s="140">
        <f t="shared" si="1"/>
        <v>1</v>
      </c>
      <c r="G36" s="141"/>
      <c r="H36" s="139"/>
    </row>
    <row r="37" spans="1:8" ht="30" customHeight="1">
      <c r="A37" s="62" t="s">
        <v>6</v>
      </c>
      <c r="B37" s="64" t="s">
        <v>141</v>
      </c>
      <c r="C37" s="15">
        <f>CENTRALA!C17+'Razem OW'!C17</f>
        <v>1107536</v>
      </c>
      <c r="D37" s="15">
        <f>CENTRALA!D17+'Razem OW'!D17</f>
        <v>1109343</v>
      </c>
      <c r="E37" s="80">
        <f t="shared" si="0"/>
        <v>1807</v>
      </c>
      <c r="F37" s="140">
        <f t="shared" si="1"/>
        <v>1.0016</v>
      </c>
      <c r="G37" s="141"/>
      <c r="H37" s="139"/>
    </row>
    <row r="38" spans="1:8" ht="30" customHeight="1">
      <c r="A38" s="62" t="s">
        <v>7</v>
      </c>
      <c r="B38" s="64" t="s">
        <v>140</v>
      </c>
      <c r="C38" s="15">
        <f>CENTRALA!C18+'Razem OW'!C18</f>
        <v>375271</v>
      </c>
      <c r="D38" s="15">
        <f>CENTRALA!D18+'Razem OW'!D18</f>
        <v>382703</v>
      </c>
      <c r="E38" s="80">
        <f>IF(C38=D38,"-",D38-C38)</f>
        <v>7432</v>
      </c>
      <c r="F38" s="140">
        <f>IF(C38=0,"-",D38/C38)</f>
        <v>1.0198</v>
      </c>
      <c r="G38" s="141"/>
      <c r="H38" s="139"/>
    </row>
    <row r="39" spans="1:8" ht="30" customHeight="1">
      <c r="A39" s="62" t="s">
        <v>8</v>
      </c>
      <c r="B39" s="64" t="s">
        <v>136</v>
      </c>
      <c r="C39" s="15">
        <f>CENTRALA!C19+'Razem OW'!C19</f>
        <v>1773179</v>
      </c>
      <c r="D39" s="15">
        <f>CENTRALA!D19+'Razem OW'!D19</f>
        <v>1773179</v>
      </c>
      <c r="E39" s="80" t="str">
        <f t="shared" si="0"/>
        <v>-</v>
      </c>
      <c r="F39" s="140">
        <f t="shared" si="1"/>
        <v>1</v>
      </c>
      <c r="G39" s="141"/>
      <c r="H39" s="139"/>
    </row>
    <row r="40" spans="1:8" ht="30" customHeight="1">
      <c r="A40" s="62" t="s">
        <v>9</v>
      </c>
      <c r="B40" s="64" t="s">
        <v>137</v>
      </c>
      <c r="C40" s="15">
        <f>CENTRALA!C20+'Razem OW'!C20</f>
        <v>618616</v>
      </c>
      <c r="D40" s="15">
        <f>CENTRALA!D20+'Razem OW'!D20</f>
        <v>618616</v>
      </c>
      <c r="E40" s="80" t="str">
        <f t="shared" si="0"/>
        <v>-</v>
      </c>
      <c r="F40" s="140">
        <f t="shared" si="1"/>
        <v>1</v>
      </c>
      <c r="G40" s="141"/>
      <c r="H40" s="139"/>
    </row>
    <row r="41" spans="1:8" ht="30" customHeight="1">
      <c r="A41" s="62" t="s">
        <v>10</v>
      </c>
      <c r="B41" s="64" t="s">
        <v>142</v>
      </c>
      <c r="C41" s="15">
        <f>CENTRALA!C21+'Razem OW'!C21</f>
        <v>46036</v>
      </c>
      <c r="D41" s="15">
        <f>CENTRALA!D21+'Razem OW'!D21</f>
        <v>46036</v>
      </c>
      <c r="E41" s="80" t="str">
        <f t="shared" si="0"/>
        <v>-</v>
      </c>
      <c r="F41" s="140">
        <f t="shared" si="1"/>
        <v>1</v>
      </c>
      <c r="G41" s="141"/>
      <c r="H41" s="139"/>
    </row>
    <row r="42" spans="1:8" ht="30" customHeight="1">
      <c r="A42" s="62" t="s">
        <v>11</v>
      </c>
      <c r="B42" s="64" t="s">
        <v>138</v>
      </c>
      <c r="C42" s="15">
        <f>CENTRALA!C22+'Razem OW'!C22</f>
        <v>177023</v>
      </c>
      <c r="D42" s="15">
        <f>CENTRALA!D22+'Razem OW'!D22</f>
        <v>177023</v>
      </c>
      <c r="E42" s="80" t="str">
        <f t="shared" si="0"/>
        <v>-</v>
      </c>
      <c r="F42" s="140">
        <f t="shared" si="1"/>
        <v>1</v>
      </c>
      <c r="G42" s="141"/>
      <c r="H42" s="139"/>
    </row>
    <row r="43" spans="1:8" ht="30" customHeight="1">
      <c r="A43" s="62" t="s">
        <v>12</v>
      </c>
      <c r="B43" s="64" t="s">
        <v>185</v>
      </c>
      <c r="C43" s="15">
        <f>CENTRALA!C23+'Razem OW'!C23</f>
        <v>1743960</v>
      </c>
      <c r="D43" s="15">
        <f>CENTRALA!D23+'Razem OW'!D23</f>
        <v>1746477</v>
      </c>
      <c r="E43" s="80">
        <f t="shared" si="0"/>
        <v>2517</v>
      </c>
      <c r="F43" s="140">
        <f t="shared" si="1"/>
        <v>1.0014</v>
      </c>
      <c r="G43" s="141"/>
      <c r="H43" s="139"/>
    </row>
    <row r="44" spans="1:8" ht="30" customHeight="1">
      <c r="A44" s="62" t="s">
        <v>13</v>
      </c>
      <c r="B44" s="64" t="s">
        <v>167</v>
      </c>
      <c r="C44" s="15">
        <f>CENTRALA!C24+'Razem OW'!C24</f>
        <v>840982</v>
      </c>
      <c r="D44" s="15">
        <f>CENTRALA!D24+'Razem OW'!D24</f>
        <v>840982</v>
      </c>
      <c r="E44" s="80" t="str">
        <f t="shared" si="0"/>
        <v>-</v>
      </c>
      <c r="F44" s="140">
        <f t="shared" si="1"/>
        <v>1</v>
      </c>
      <c r="G44" s="141"/>
      <c r="H44" s="139"/>
    </row>
    <row r="45" spans="1:8" ht="30" customHeight="1">
      <c r="A45" s="62" t="s">
        <v>14</v>
      </c>
      <c r="B45" s="64" t="s">
        <v>249</v>
      </c>
      <c r="C45" s="15">
        <f>CENTRALA!C25+'Razem OW'!C25</f>
        <v>7938896</v>
      </c>
      <c r="D45" s="15">
        <f>CENTRALA!D25+'Razem OW'!D25</f>
        <v>7938896</v>
      </c>
      <c r="E45" s="80" t="str">
        <f t="shared" si="0"/>
        <v>-</v>
      </c>
      <c r="F45" s="140">
        <f t="shared" si="1"/>
        <v>1</v>
      </c>
      <c r="G45" s="141"/>
      <c r="H45" s="139"/>
    </row>
    <row r="46" spans="1:8" ht="41.25" customHeight="1">
      <c r="A46" s="62" t="s">
        <v>143</v>
      </c>
      <c r="B46" s="63" t="s">
        <v>170</v>
      </c>
      <c r="C46" s="15">
        <f>CENTRALA!C26+'Razem OW'!C26</f>
        <v>7896346</v>
      </c>
      <c r="D46" s="15">
        <f>CENTRALA!D26+'Razem OW'!D26</f>
        <v>7896346</v>
      </c>
      <c r="E46" s="80" t="str">
        <f t="shared" si="0"/>
        <v>-</v>
      </c>
      <c r="F46" s="140">
        <f t="shared" si="1"/>
        <v>1</v>
      </c>
      <c r="G46" s="141"/>
      <c r="H46" s="139"/>
    </row>
    <row r="47" spans="1:8" ht="30" customHeight="1">
      <c r="A47" s="62" t="s">
        <v>169</v>
      </c>
      <c r="B47" s="63" t="s">
        <v>172</v>
      </c>
      <c r="C47" s="15">
        <f>CENTRALA!C27+'Razem OW'!C27</f>
        <v>33144</v>
      </c>
      <c r="D47" s="15">
        <f>CENTRALA!D27+'Razem OW'!D27</f>
        <v>33144</v>
      </c>
      <c r="E47" s="80" t="str">
        <f t="shared" si="0"/>
        <v>-</v>
      </c>
      <c r="F47" s="140">
        <f t="shared" si="1"/>
        <v>1</v>
      </c>
      <c r="G47" s="141"/>
      <c r="H47" s="139"/>
    </row>
    <row r="48" spans="1:8" ht="41.25" customHeight="1">
      <c r="A48" s="62" t="s">
        <v>173</v>
      </c>
      <c r="B48" s="63" t="s">
        <v>171</v>
      </c>
      <c r="C48" s="15">
        <f>CENTRALA!C28+'Razem OW'!C28</f>
        <v>9406</v>
      </c>
      <c r="D48" s="15">
        <f>CENTRALA!D28+'Razem OW'!D28</f>
        <v>9406</v>
      </c>
      <c r="E48" s="80" t="str">
        <f t="shared" si="0"/>
        <v>-</v>
      </c>
      <c r="F48" s="140">
        <f t="shared" si="1"/>
        <v>1</v>
      </c>
      <c r="G48" s="141"/>
      <c r="H48" s="139"/>
    </row>
    <row r="49" spans="1:8" ht="36" customHeight="1">
      <c r="A49" s="62" t="s">
        <v>15</v>
      </c>
      <c r="B49" s="64" t="s">
        <v>122</v>
      </c>
      <c r="C49" s="15">
        <f>CENTRALA!C29+'Razem OW'!C29</f>
        <v>399133</v>
      </c>
      <c r="D49" s="15">
        <f>CENTRALA!D29+'Razem OW'!D29</f>
        <v>399133</v>
      </c>
      <c r="E49" s="80" t="str">
        <f t="shared" si="0"/>
        <v>-</v>
      </c>
      <c r="F49" s="140">
        <f t="shared" si="1"/>
        <v>1</v>
      </c>
      <c r="G49" s="141"/>
      <c r="H49" s="139"/>
    </row>
    <row r="50" spans="1:8" ht="30" customHeight="1">
      <c r="A50" s="62" t="s">
        <v>119</v>
      </c>
      <c r="B50" s="64" t="s">
        <v>174</v>
      </c>
      <c r="C50" s="15">
        <f>CENTRALA!C30+'Razem OW'!C30</f>
        <v>19196</v>
      </c>
      <c r="D50" s="15">
        <f>CENTRALA!D30+'Razem OW'!D30</f>
        <v>19196</v>
      </c>
      <c r="E50" s="80" t="str">
        <f t="shared" si="0"/>
        <v>-</v>
      </c>
      <c r="F50" s="140">
        <f t="shared" si="1"/>
        <v>1</v>
      </c>
      <c r="G50" s="141"/>
      <c r="H50" s="139"/>
    </row>
    <row r="51" spans="1:8" ht="30" customHeight="1">
      <c r="A51" s="62" t="s">
        <v>175</v>
      </c>
      <c r="B51" s="64" t="s">
        <v>187</v>
      </c>
      <c r="C51" s="15">
        <f>CENTRALA!C31+'Razem OW'!C31</f>
        <v>0</v>
      </c>
      <c r="D51" s="15">
        <f>CENTRALA!D31+'Razem OW'!D31</f>
        <v>0</v>
      </c>
      <c r="E51" s="80" t="str">
        <f t="shared" si="0"/>
        <v>-</v>
      </c>
      <c r="F51" s="140" t="str">
        <f t="shared" si="1"/>
        <v>-</v>
      </c>
      <c r="G51" s="141"/>
      <c r="H51" s="139"/>
    </row>
    <row r="52" spans="1:8" ht="30" customHeight="1">
      <c r="A52" s="62" t="s">
        <v>120</v>
      </c>
      <c r="B52" s="64" t="s">
        <v>123</v>
      </c>
      <c r="C52" s="15">
        <f>CENTRALA!C32+'Razem OW'!C32</f>
        <v>0</v>
      </c>
      <c r="D52" s="15">
        <f>CENTRALA!D32+'Razem OW'!D32</f>
        <v>0</v>
      </c>
      <c r="E52" s="80" t="str">
        <f t="shared" si="0"/>
        <v>-</v>
      </c>
      <c r="F52" s="140" t="str">
        <f t="shared" si="1"/>
        <v>-</v>
      </c>
      <c r="G52" s="141"/>
      <c r="H52" s="139"/>
    </row>
    <row r="53" spans="1:8" ht="30" customHeight="1">
      <c r="A53" s="62" t="s">
        <v>121</v>
      </c>
      <c r="B53" s="64" t="s">
        <v>186</v>
      </c>
      <c r="C53" s="15">
        <f>CENTRALA!C33+'Razem OW'!C33</f>
        <v>361545</v>
      </c>
      <c r="D53" s="15">
        <f>CENTRALA!D33+'Razem OW'!D33</f>
        <v>361545</v>
      </c>
      <c r="E53" s="80" t="str">
        <f t="shared" si="0"/>
        <v>-</v>
      </c>
      <c r="F53" s="140">
        <f t="shared" si="1"/>
        <v>1</v>
      </c>
      <c r="G53" s="141"/>
      <c r="H53" s="139"/>
    </row>
    <row r="54" spans="1:8" ht="30" customHeight="1">
      <c r="A54" s="62" t="s">
        <v>246</v>
      </c>
      <c r="B54" s="64" t="s">
        <v>247</v>
      </c>
      <c r="C54" s="15">
        <f>CENTRALA!C34+'Razem OW'!C34</f>
        <v>305934</v>
      </c>
      <c r="D54" s="15">
        <f>CENTRALA!D34+'Razem OW'!D34</f>
        <v>305934</v>
      </c>
      <c r="E54" s="80" t="str">
        <f>IF(C54=D54,"-",D54-C54)</f>
        <v>-</v>
      </c>
      <c r="F54" s="140">
        <f>IF(C54=0,"-",D54/C54)</f>
        <v>1</v>
      </c>
      <c r="G54" s="142"/>
      <c r="H54" s="139"/>
    </row>
    <row r="55" spans="1:8" s="14" customFormat="1" ht="30.75" customHeight="1">
      <c r="A55" s="33" t="s">
        <v>59</v>
      </c>
      <c r="B55" s="65" t="s">
        <v>101</v>
      </c>
      <c r="C55" s="22">
        <f>CENTRALA!C35+'Razem OW'!C35</f>
        <v>0</v>
      </c>
      <c r="D55" s="22">
        <f>C55</f>
        <v>0</v>
      </c>
      <c r="E55" s="22" t="str">
        <f t="shared" si="0"/>
        <v>-</v>
      </c>
      <c r="F55" s="106" t="str">
        <f t="shared" si="1"/>
        <v>-</v>
      </c>
      <c r="H55" s="139"/>
    </row>
    <row r="56" spans="1:8" s="14" customFormat="1" ht="30.75" customHeight="1">
      <c r="A56" s="33" t="s">
        <v>58</v>
      </c>
      <c r="B56" s="65" t="s">
        <v>61</v>
      </c>
      <c r="C56" s="13">
        <f>CENTRALA!C36+'Razem OW'!C36</f>
        <v>1839959</v>
      </c>
      <c r="D56" s="13">
        <f>CENTRALA!D36+'Razem OW'!D36</f>
        <v>1839959</v>
      </c>
      <c r="E56" s="13" t="str">
        <f t="shared" si="0"/>
        <v>-</v>
      </c>
      <c r="F56" s="102">
        <f t="shared" si="1"/>
        <v>1</v>
      </c>
      <c r="H56" s="139"/>
    </row>
    <row r="57" spans="1:8" s="14" customFormat="1" ht="45.75" customHeight="1">
      <c r="A57" s="33" t="s">
        <v>176</v>
      </c>
      <c r="B57" s="65" t="s">
        <v>177</v>
      </c>
      <c r="C57" s="13">
        <f>CENTRALA!C37+'Razem OW'!C37</f>
        <v>10901083</v>
      </c>
      <c r="D57" s="13">
        <f>CENTRALA!D37+'Razem OW'!D37</f>
        <v>10901083</v>
      </c>
      <c r="E57" s="13" t="str">
        <f>IF(C57=D57,"-",D57-C57)</f>
        <v>-</v>
      </c>
      <c r="F57" s="102">
        <f t="shared" si="1"/>
        <v>1</v>
      </c>
      <c r="H57" s="139"/>
    </row>
    <row r="58" spans="1:8" s="14" customFormat="1" ht="33" customHeight="1">
      <c r="A58" s="53" t="s">
        <v>146</v>
      </c>
      <c r="B58" s="54" t="s">
        <v>127</v>
      </c>
      <c r="C58" s="13">
        <f>C20-C25</f>
        <v>-491744</v>
      </c>
      <c r="D58" s="13">
        <f>D20-D25</f>
        <v>-558208</v>
      </c>
      <c r="E58" s="13">
        <f t="shared" si="0"/>
        <v>-66464</v>
      </c>
      <c r="F58" s="102">
        <f t="shared" si="1"/>
        <v>1.1352</v>
      </c>
      <c r="H58" s="139"/>
    </row>
    <row r="59" spans="1:8" s="14" customFormat="1" ht="33" customHeight="1">
      <c r="A59" s="53" t="s">
        <v>147</v>
      </c>
      <c r="B59" s="54" t="s">
        <v>261</v>
      </c>
      <c r="C59" s="13">
        <f>C60+C61+C62+C70+C72+C77+C78+C79</f>
        <v>704620</v>
      </c>
      <c r="D59" s="13">
        <f>D60+D61+D62+D70+D72+D77+D78+D79</f>
        <v>704620</v>
      </c>
      <c r="E59" s="13" t="str">
        <f t="shared" si="0"/>
        <v>-</v>
      </c>
      <c r="F59" s="102">
        <f t="shared" si="1"/>
        <v>1</v>
      </c>
      <c r="H59" s="139"/>
    </row>
    <row r="60" spans="1:8" ht="30" customHeight="1">
      <c r="A60" s="55" t="s">
        <v>17</v>
      </c>
      <c r="B60" s="51" t="s">
        <v>18</v>
      </c>
      <c r="C60" s="15">
        <f>CENTRALA!C39+'Razem OW'!C39</f>
        <v>28994</v>
      </c>
      <c r="D60" s="15">
        <f>CENTRALA!D39+'Razem OW'!D39</f>
        <v>28994</v>
      </c>
      <c r="E60" s="15" t="str">
        <f t="shared" si="0"/>
        <v>-</v>
      </c>
      <c r="F60" s="103">
        <f t="shared" si="1"/>
        <v>1</v>
      </c>
      <c r="H60" s="139"/>
    </row>
    <row r="61" spans="1:8" ht="30" customHeight="1">
      <c r="A61" s="55" t="s">
        <v>19</v>
      </c>
      <c r="B61" s="51" t="s">
        <v>20</v>
      </c>
      <c r="C61" s="15">
        <f>CENTRALA!C40+'Razem OW'!C40</f>
        <v>165654</v>
      </c>
      <c r="D61" s="15">
        <f>CENTRALA!D40+'Razem OW'!D40</f>
        <v>165654</v>
      </c>
      <c r="E61" s="15" t="str">
        <f t="shared" si="0"/>
        <v>-</v>
      </c>
      <c r="F61" s="103">
        <f t="shared" si="1"/>
        <v>1</v>
      </c>
      <c r="H61" s="139"/>
    </row>
    <row r="62" spans="1:8" ht="30" customHeight="1">
      <c r="A62" s="55" t="s">
        <v>21</v>
      </c>
      <c r="B62" s="66" t="s">
        <v>262</v>
      </c>
      <c r="C62" s="15">
        <f>C63+C65+C66+C67+C68+C69</f>
        <v>5212</v>
      </c>
      <c r="D62" s="15">
        <f>D63+D65+D66+D67+D68+D69</f>
        <v>5212</v>
      </c>
      <c r="E62" s="15" t="str">
        <f t="shared" si="0"/>
        <v>-</v>
      </c>
      <c r="F62" s="103">
        <f t="shared" si="1"/>
        <v>1</v>
      </c>
      <c r="H62" s="139"/>
    </row>
    <row r="63" spans="1:8" s="17" customFormat="1" ht="30" customHeight="1">
      <c r="A63" s="67" t="s">
        <v>39</v>
      </c>
      <c r="B63" s="68" t="s">
        <v>32</v>
      </c>
      <c r="C63" s="15">
        <f>CENTRALA!C42+'Razem OW'!C42</f>
        <v>618</v>
      </c>
      <c r="D63" s="15">
        <f>CENTRALA!D42+'Razem OW'!D42</f>
        <v>618</v>
      </c>
      <c r="E63" s="15" t="str">
        <f t="shared" si="0"/>
        <v>-</v>
      </c>
      <c r="F63" s="103">
        <f t="shared" si="1"/>
        <v>1</v>
      </c>
      <c r="H63" s="139"/>
    </row>
    <row r="64" spans="1:8" s="17" customFormat="1" ht="30" customHeight="1">
      <c r="A64" s="67" t="s">
        <v>40</v>
      </c>
      <c r="B64" s="69" t="s">
        <v>33</v>
      </c>
      <c r="C64" s="15">
        <f>CENTRALA!C43+'Razem OW'!C43</f>
        <v>591</v>
      </c>
      <c r="D64" s="15">
        <f>CENTRALA!D43+'Razem OW'!D43</f>
        <v>591</v>
      </c>
      <c r="E64" s="15" t="str">
        <f t="shared" si="0"/>
        <v>-</v>
      </c>
      <c r="F64" s="103">
        <f t="shared" si="1"/>
        <v>1</v>
      </c>
      <c r="H64" s="139"/>
    </row>
    <row r="65" spans="1:8" s="17" customFormat="1" ht="30" customHeight="1">
      <c r="A65" s="67" t="s">
        <v>41</v>
      </c>
      <c r="B65" s="68" t="s">
        <v>34</v>
      </c>
      <c r="C65" s="15">
        <f>CENTRALA!C44+'Razem OW'!C44</f>
        <v>543</v>
      </c>
      <c r="D65" s="15">
        <f>CENTRALA!D44+'Razem OW'!D44</f>
        <v>543</v>
      </c>
      <c r="E65" s="15" t="str">
        <f t="shared" si="0"/>
        <v>-</v>
      </c>
      <c r="F65" s="103">
        <f t="shared" si="1"/>
        <v>1</v>
      </c>
      <c r="H65" s="139"/>
    </row>
    <row r="66" spans="1:8" s="17" customFormat="1" ht="30" customHeight="1">
      <c r="A66" s="67" t="s">
        <v>42</v>
      </c>
      <c r="B66" s="68" t="s">
        <v>35</v>
      </c>
      <c r="C66" s="15">
        <f>CENTRALA!C45+'Razem OW'!C45</f>
        <v>32</v>
      </c>
      <c r="D66" s="15">
        <f>CENTRALA!D45+'Razem OW'!D45</f>
        <v>32</v>
      </c>
      <c r="E66" s="15" t="str">
        <f t="shared" si="0"/>
        <v>-</v>
      </c>
      <c r="F66" s="103">
        <f t="shared" si="1"/>
        <v>1</v>
      </c>
      <c r="H66" s="139"/>
    </row>
    <row r="67" spans="1:8" s="17" customFormat="1" ht="30" customHeight="1">
      <c r="A67" s="67" t="s">
        <v>43</v>
      </c>
      <c r="B67" s="68" t="s">
        <v>36</v>
      </c>
      <c r="C67" s="15">
        <f>CENTRALA!C46+'Razem OW'!C46</f>
        <v>0</v>
      </c>
      <c r="D67" s="15">
        <f>CENTRALA!D46+'Razem OW'!D46</f>
        <v>0</v>
      </c>
      <c r="E67" s="15" t="str">
        <f t="shared" si="0"/>
        <v>-</v>
      </c>
      <c r="F67" s="103" t="str">
        <f t="shared" si="1"/>
        <v>-</v>
      </c>
      <c r="H67" s="139"/>
    </row>
    <row r="68" spans="1:8" s="17" customFormat="1" ht="30" customHeight="1">
      <c r="A68" s="67" t="s">
        <v>44</v>
      </c>
      <c r="B68" s="68" t="s">
        <v>37</v>
      </c>
      <c r="C68" s="15">
        <f>CENTRALA!C47+'Razem OW'!C47</f>
        <v>3714</v>
      </c>
      <c r="D68" s="15">
        <f>CENTRALA!D47+'Razem OW'!D47</f>
        <v>3714</v>
      </c>
      <c r="E68" s="15" t="str">
        <f t="shared" si="0"/>
        <v>-</v>
      </c>
      <c r="F68" s="103">
        <f t="shared" si="1"/>
        <v>1</v>
      </c>
      <c r="H68" s="139"/>
    </row>
    <row r="69" spans="1:8" s="18" customFormat="1" ht="30" customHeight="1">
      <c r="A69" s="67" t="s">
        <v>45</v>
      </c>
      <c r="B69" s="68" t="s">
        <v>38</v>
      </c>
      <c r="C69" s="15">
        <f>CENTRALA!C48+'Razem OW'!C48</f>
        <v>305</v>
      </c>
      <c r="D69" s="15">
        <f>CENTRALA!D48+'Razem OW'!D48</f>
        <v>305</v>
      </c>
      <c r="E69" s="15" t="str">
        <f t="shared" si="0"/>
        <v>-</v>
      </c>
      <c r="F69" s="103">
        <f t="shared" si="1"/>
        <v>1</v>
      </c>
      <c r="H69" s="139"/>
    </row>
    <row r="70" spans="1:8" ht="30" customHeight="1">
      <c r="A70" s="32" t="s">
        <v>22</v>
      </c>
      <c r="B70" s="51" t="s">
        <v>178</v>
      </c>
      <c r="C70" s="15">
        <f>CENTRALA!C49+'Razem OW'!C49</f>
        <v>312857</v>
      </c>
      <c r="D70" s="15">
        <f>CENTRALA!D49+'Razem OW'!D49</f>
        <v>312857</v>
      </c>
      <c r="E70" s="15" t="str">
        <f t="shared" si="0"/>
        <v>-</v>
      </c>
      <c r="F70" s="103">
        <f t="shared" si="1"/>
        <v>1</v>
      </c>
      <c r="H70" s="139"/>
    </row>
    <row r="71" spans="1:8" ht="30" customHeight="1">
      <c r="A71" s="67" t="s">
        <v>179</v>
      </c>
      <c r="B71" s="68" t="s">
        <v>180</v>
      </c>
      <c r="C71" s="15">
        <f>CENTRALA!C50+'Razem OW'!C50</f>
        <v>1555</v>
      </c>
      <c r="D71" s="15">
        <f>CENTRALA!D50+'Razem OW'!D50</f>
        <v>1555</v>
      </c>
      <c r="E71" s="15" t="str">
        <f t="shared" si="0"/>
        <v>-</v>
      </c>
      <c r="F71" s="103">
        <f t="shared" si="1"/>
        <v>1</v>
      </c>
      <c r="H71" s="139"/>
    </row>
    <row r="72" spans="1:8" ht="30" customHeight="1">
      <c r="A72" s="55" t="s">
        <v>23</v>
      </c>
      <c r="B72" s="60" t="s">
        <v>252</v>
      </c>
      <c r="C72" s="15">
        <f>SUM(C73:C76)</f>
        <v>70321</v>
      </c>
      <c r="D72" s="15">
        <f>SUM(D73:D76)</f>
        <v>70321</v>
      </c>
      <c r="E72" s="15" t="str">
        <f t="shared" si="0"/>
        <v>-</v>
      </c>
      <c r="F72" s="103">
        <f t="shared" si="1"/>
        <v>1</v>
      </c>
      <c r="H72" s="139"/>
    </row>
    <row r="73" spans="1:8" s="17" customFormat="1" ht="30" customHeight="1">
      <c r="A73" s="67" t="s">
        <v>50</v>
      </c>
      <c r="B73" s="68" t="s">
        <v>46</v>
      </c>
      <c r="C73" s="15">
        <f>CENTRALA!C52+'Razem OW'!C52</f>
        <v>53474</v>
      </c>
      <c r="D73" s="15">
        <f>CENTRALA!D52+'Razem OW'!D52</f>
        <v>53474</v>
      </c>
      <c r="E73" s="15" t="str">
        <f t="shared" si="0"/>
        <v>-</v>
      </c>
      <c r="F73" s="103">
        <f t="shared" si="1"/>
        <v>1</v>
      </c>
      <c r="H73" s="139"/>
    </row>
    <row r="74" spans="1:8" s="17" customFormat="1" ht="30" customHeight="1">
      <c r="A74" s="67" t="s">
        <v>51</v>
      </c>
      <c r="B74" s="68" t="s">
        <v>47</v>
      </c>
      <c r="C74" s="15">
        <f>CENTRALA!C53+'Razem OW'!C53</f>
        <v>7548</v>
      </c>
      <c r="D74" s="15">
        <f>CENTRALA!D53+'Razem OW'!D53</f>
        <v>7548</v>
      </c>
      <c r="E74" s="15" t="str">
        <f t="shared" si="0"/>
        <v>-</v>
      </c>
      <c r="F74" s="103">
        <f t="shared" si="1"/>
        <v>1</v>
      </c>
      <c r="H74" s="139"/>
    </row>
    <row r="75" spans="1:8" s="17" customFormat="1" ht="30" customHeight="1">
      <c r="A75" s="67" t="s">
        <v>52</v>
      </c>
      <c r="B75" s="68" t="s">
        <v>48</v>
      </c>
      <c r="C75" s="15">
        <f>CENTRALA!C54+'Razem OW'!C54</f>
        <v>0</v>
      </c>
      <c r="D75" s="15">
        <f>CENTRALA!D54+'Razem OW'!D54</f>
        <v>0</v>
      </c>
      <c r="E75" s="15" t="str">
        <f t="shared" si="0"/>
        <v>-</v>
      </c>
      <c r="F75" s="103" t="str">
        <f t="shared" si="1"/>
        <v>-</v>
      </c>
      <c r="H75" s="139"/>
    </row>
    <row r="76" spans="1:8" s="17" customFormat="1" ht="30" customHeight="1">
      <c r="A76" s="67" t="s">
        <v>53</v>
      </c>
      <c r="B76" s="68" t="s">
        <v>49</v>
      </c>
      <c r="C76" s="15">
        <f>CENTRALA!C55+'Razem OW'!C55</f>
        <v>9299</v>
      </c>
      <c r="D76" s="15">
        <f>CENTRALA!D55+'Razem OW'!D55</f>
        <v>9299</v>
      </c>
      <c r="E76" s="15" t="str">
        <f t="shared" si="0"/>
        <v>-</v>
      </c>
      <c r="F76" s="103">
        <f t="shared" si="1"/>
        <v>1</v>
      </c>
      <c r="H76" s="139"/>
    </row>
    <row r="77" spans="1:8" ht="30" customHeight="1">
      <c r="A77" s="55" t="s">
        <v>24</v>
      </c>
      <c r="B77" s="56" t="s">
        <v>25</v>
      </c>
      <c r="C77" s="15">
        <f>CENTRALA!C56+'Razem OW'!C56</f>
        <v>50</v>
      </c>
      <c r="D77" s="15">
        <f>CENTRALA!D56+'Razem OW'!D56</f>
        <v>50</v>
      </c>
      <c r="E77" s="15" t="str">
        <f t="shared" si="0"/>
        <v>-</v>
      </c>
      <c r="F77" s="103">
        <f t="shared" si="1"/>
        <v>1</v>
      </c>
      <c r="H77" s="139"/>
    </row>
    <row r="78" spans="1:8" ht="42" customHeight="1">
      <c r="A78" s="55" t="s">
        <v>26</v>
      </c>
      <c r="B78" s="56" t="s">
        <v>181</v>
      </c>
      <c r="C78" s="80">
        <f>CENTRALA!C57+'Razem OW'!C57</f>
        <v>113871</v>
      </c>
      <c r="D78" s="80">
        <f>CENTRALA!D57+'Razem OW'!D57</f>
        <v>113871</v>
      </c>
      <c r="E78" s="15" t="str">
        <f t="shared" si="0"/>
        <v>-</v>
      </c>
      <c r="F78" s="103">
        <f t="shared" si="1"/>
        <v>1</v>
      </c>
      <c r="H78" s="139"/>
    </row>
    <row r="79" spans="1:8" ht="30" customHeight="1">
      <c r="A79" s="55" t="s">
        <v>27</v>
      </c>
      <c r="B79" s="56" t="s">
        <v>28</v>
      </c>
      <c r="C79" s="15">
        <f>CENTRALA!C58+'Razem OW'!C58</f>
        <v>7661</v>
      </c>
      <c r="D79" s="15">
        <f>CENTRALA!D58+'Razem OW'!D58</f>
        <v>7661</v>
      </c>
      <c r="E79" s="15" t="str">
        <f t="shared" si="0"/>
        <v>-</v>
      </c>
      <c r="F79" s="103">
        <f t="shared" si="1"/>
        <v>1</v>
      </c>
      <c r="H79" s="139"/>
    </row>
    <row r="80" spans="1:8" s="14" customFormat="1" ht="33" customHeight="1">
      <c r="A80" s="70" t="s">
        <v>148</v>
      </c>
      <c r="B80" s="71" t="s">
        <v>183</v>
      </c>
      <c r="C80" s="13">
        <v>265292</v>
      </c>
      <c r="D80" s="13">
        <f>C80</f>
        <v>265292</v>
      </c>
      <c r="E80" s="13" t="str">
        <f t="shared" si="0"/>
        <v>-</v>
      </c>
      <c r="F80" s="102">
        <f t="shared" si="1"/>
        <v>1</v>
      </c>
      <c r="H80" s="139"/>
    </row>
    <row r="81" spans="1:8" s="14" customFormat="1" ht="33" customHeight="1">
      <c r="A81" s="70" t="s">
        <v>149</v>
      </c>
      <c r="B81" s="71" t="s">
        <v>263</v>
      </c>
      <c r="C81" s="13">
        <f>C82+C83+C84+C85</f>
        <v>328675</v>
      </c>
      <c r="D81" s="13">
        <f>D82+D83+D84+D85</f>
        <v>264831</v>
      </c>
      <c r="E81" s="13">
        <f aca="true" t="shared" si="2" ref="E81:E98">IF(C81=D81,"-",D81-C81)</f>
        <v>-63844</v>
      </c>
      <c r="F81" s="102">
        <f aca="true" t="shared" si="3" ref="F81:F98">IF(C81=0,"-",D81/C81)</f>
        <v>0.8058</v>
      </c>
      <c r="H81" s="139"/>
    </row>
    <row r="82" spans="1:8" ht="47.25" customHeight="1">
      <c r="A82" s="55" t="s">
        <v>102</v>
      </c>
      <c r="B82" s="56" t="s">
        <v>124</v>
      </c>
      <c r="C82" s="15">
        <f>CENTRALA!C60+'Razem OW'!C60</f>
        <v>919</v>
      </c>
      <c r="D82" s="15">
        <f>CENTRALA!D60+'Razem OW'!D60</f>
        <v>712</v>
      </c>
      <c r="E82" s="15">
        <f t="shared" si="2"/>
        <v>-207</v>
      </c>
      <c r="F82" s="103">
        <f t="shared" si="3"/>
        <v>0.7748</v>
      </c>
      <c r="H82" s="139"/>
    </row>
    <row r="83" spans="1:8" ht="33.75" customHeight="1">
      <c r="A83" s="55" t="s">
        <v>30</v>
      </c>
      <c r="B83" s="56" t="s">
        <v>56</v>
      </c>
      <c r="C83" s="15">
        <f>CENTRALA!C61+'Razem OW'!C61</f>
        <v>242590</v>
      </c>
      <c r="D83" s="15">
        <f>CENTRALA!D61+'Razem OW'!D61</f>
        <v>171615</v>
      </c>
      <c r="E83" s="15">
        <f t="shared" si="2"/>
        <v>-70975</v>
      </c>
      <c r="F83" s="103">
        <f t="shared" si="3"/>
        <v>0.7074</v>
      </c>
      <c r="H83" s="139"/>
    </row>
    <row r="84" spans="1:8" ht="30" customHeight="1">
      <c r="A84" s="55" t="s">
        <v>31</v>
      </c>
      <c r="B84" s="56" t="s">
        <v>104</v>
      </c>
      <c r="C84" s="15">
        <f>CENTRALA!C62+'Razem OW'!C62</f>
        <v>46737</v>
      </c>
      <c r="D84" s="15">
        <f>CENTRALA!D62+'Razem OW'!D62</f>
        <v>46737</v>
      </c>
      <c r="E84" s="15" t="str">
        <f t="shared" si="2"/>
        <v>-</v>
      </c>
      <c r="F84" s="103">
        <f t="shared" si="3"/>
        <v>1</v>
      </c>
      <c r="H84" s="139"/>
    </row>
    <row r="85" spans="1:8" ht="30" customHeight="1">
      <c r="A85" s="55" t="s">
        <v>103</v>
      </c>
      <c r="B85" s="60" t="s">
        <v>105</v>
      </c>
      <c r="C85" s="15">
        <f>CENTRALA!C63+'Razem OW'!C63</f>
        <v>38429</v>
      </c>
      <c r="D85" s="15">
        <f>CENTRALA!D63+'Razem OW'!D63</f>
        <v>45767</v>
      </c>
      <c r="E85" s="15">
        <f t="shared" si="2"/>
        <v>7338</v>
      </c>
      <c r="F85" s="103">
        <f t="shared" si="3"/>
        <v>1.1909</v>
      </c>
      <c r="H85" s="139"/>
    </row>
    <row r="86" spans="1:8" s="14" customFormat="1" ht="33" customHeight="1">
      <c r="A86" s="70" t="s">
        <v>150</v>
      </c>
      <c r="B86" s="71" t="s">
        <v>264</v>
      </c>
      <c r="C86" s="13">
        <f>C87+C88</f>
        <v>86447</v>
      </c>
      <c r="D86" s="13">
        <f>D87+D88</f>
        <v>86447</v>
      </c>
      <c r="E86" s="13" t="str">
        <f t="shared" si="2"/>
        <v>-</v>
      </c>
      <c r="F86" s="102">
        <f t="shared" si="3"/>
        <v>1</v>
      </c>
      <c r="H86" s="139"/>
    </row>
    <row r="87" spans="1:8" ht="30" customHeight="1">
      <c r="A87" s="55" t="s">
        <v>106</v>
      </c>
      <c r="B87" s="56" t="s">
        <v>107</v>
      </c>
      <c r="C87" s="15">
        <v>70707</v>
      </c>
      <c r="D87" s="15">
        <f>C87</f>
        <v>70707</v>
      </c>
      <c r="E87" s="15" t="str">
        <f t="shared" si="2"/>
        <v>-</v>
      </c>
      <c r="F87" s="103">
        <f t="shared" si="3"/>
        <v>1</v>
      </c>
      <c r="H87" s="139"/>
    </row>
    <row r="88" spans="1:8" ht="30" customHeight="1">
      <c r="A88" s="55" t="s">
        <v>108</v>
      </c>
      <c r="B88" s="60" t="s">
        <v>109</v>
      </c>
      <c r="C88" s="15">
        <v>15740</v>
      </c>
      <c r="D88" s="15">
        <f>C88</f>
        <v>15740</v>
      </c>
      <c r="E88" s="15" t="str">
        <f t="shared" si="2"/>
        <v>-</v>
      </c>
      <c r="F88" s="103">
        <f t="shared" si="3"/>
        <v>1</v>
      </c>
      <c r="H88" s="139"/>
    </row>
    <row r="89" spans="1:8" s="14" customFormat="1" ht="39.75" customHeight="1">
      <c r="A89" s="70" t="s">
        <v>151</v>
      </c>
      <c r="B89" s="71" t="s">
        <v>129</v>
      </c>
      <c r="C89" s="13">
        <f>CENTRALA!C64+'Razem OW'!C64</f>
        <v>82997</v>
      </c>
      <c r="D89" s="13">
        <f>CENTRALA!D64+'Razem OW'!D64</f>
        <v>80377</v>
      </c>
      <c r="E89" s="13">
        <f t="shared" si="2"/>
        <v>-2620</v>
      </c>
      <c r="F89" s="102">
        <f t="shared" si="3"/>
        <v>0.9684</v>
      </c>
      <c r="H89" s="139"/>
    </row>
    <row r="90" spans="1:8" s="14" customFormat="1" ht="64.5" customHeight="1">
      <c r="A90" s="70" t="s">
        <v>152</v>
      </c>
      <c r="B90" s="71" t="s">
        <v>118</v>
      </c>
      <c r="C90" s="13">
        <f>C58-C59+C80-C81+C86-C89</f>
        <v>-1256297</v>
      </c>
      <c r="D90" s="13">
        <f>D58-D59+D80-D81+D86-D89</f>
        <v>-1256297</v>
      </c>
      <c r="E90" s="13" t="str">
        <f t="shared" si="2"/>
        <v>-</v>
      </c>
      <c r="F90" s="102">
        <f t="shared" si="3"/>
        <v>1</v>
      </c>
      <c r="H90" s="139"/>
    </row>
    <row r="91" spans="1:8" s="14" customFormat="1" ht="33" customHeight="1">
      <c r="A91" s="70" t="s">
        <v>153</v>
      </c>
      <c r="B91" s="71" t="s">
        <v>125</v>
      </c>
      <c r="C91" s="13">
        <f>C92-C93</f>
        <v>0</v>
      </c>
      <c r="D91" s="13">
        <f>D92-D93</f>
        <v>0</v>
      </c>
      <c r="E91" s="13" t="str">
        <f t="shared" si="2"/>
        <v>-</v>
      </c>
      <c r="F91" s="102" t="str">
        <f t="shared" si="3"/>
        <v>-</v>
      </c>
      <c r="H91" s="139"/>
    </row>
    <row r="92" spans="1:8" ht="30" customHeight="1">
      <c r="A92" s="55" t="s">
        <v>111</v>
      </c>
      <c r="B92" s="56" t="s">
        <v>112</v>
      </c>
      <c r="C92" s="15">
        <f>'[4]NFZ'!$D90</f>
        <v>0</v>
      </c>
      <c r="D92" s="15">
        <f>C92</f>
        <v>0</v>
      </c>
      <c r="E92" s="15" t="str">
        <f t="shared" si="2"/>
        <v>-</v>
      </c>
      <c r="F92" s="103" t="str">
        <f t="shared" si="3"/>
        <v>-</v>
      </c>
      <c r="H92" s="139"/>
    </row>
    <row r="93" spans="1:8" ht="30" customHeight="1">
      <c r="A93" s="55" t="s">
        <v>113</v>
      </c>
      <c r="B93" s="56" t="s">
        <v>114</v>
      </c>
      <c r="C93" s="15">
        <f>'[4]NFZ'!$D91</f>
        <v>0</v>
      </c>
      <c r="D93" s="15">
        <f>C93</f>
        <v>0</v>
      </c>
      <c r="E93" s="15" t="str">
        <f t="shared" si="2"/>
        <v>-</v>
      </c>
      <c r="F93" s="103" t="str">
        <f t="shared" si="3"/>
        <v>-</v>
      </c>
      <c r="H93" s="139"/>
    </row>
    <row r="94" spans="1:8" s="19" customFormat="1" ht="33" customHeight="1">
      <c r="A94" s="70" t="s">
        <v>154</v>
      </c>
      <c r="B94" s="72" t="s">
        <v>126</v>
      </c>
      <c r="C94" s="74">
        <f>C90+C91</f>
        <v>-1256297</v>
      </c>
      <c r="D94" s="74">
        <f>D90+D91</f>
        <v>-1256297</v>
      </c>
      <c r="E94" s="74" t="str">
        <f t="shared" si="2"/>
        <v>-</v>
      </c>
      <c r="F94" s="107">
        <f t="shared" si="3"/>
        <v>1</v>
      </c>
      <c r="H94" s="139"/>
    </row>
    <row r="95" spans="1:8" s="19" customFormat="1" ht="69" customHeight="1">
      <c r="A95" s="70" t="s">
        <v>155</v>
      </c>
      <c r="B95" s="72" t="s">
        <v>115</v>
      </c>
      <c r="C95" s="74">
        <f>'[4]NFZ'!$D$93</f>
        <v>0</v>
      </c>
      <c r="D95" s="74">
        <f>C95</f>
        <v>0</v>
      </c>
      <c r="E95" s="74" t="str">
        <f t="shared" si="2"/>
        <v>-</v>
      </c>
      <c r="F95" s="107" t="str">
        <f t="shared" si="3"/>
        <v>-</v>
      </c>
      <c r="H95" s="139"/>
    </row>
    <row r="96" spans="1:8" s="19" customFormat="1" ht="33" customHeight="1">
      <c r="A96" s="70" t="s">
        <v>156</v>
      </c>
      <c r="B96" s="72" t="s">
        <v>130</v>
      </c>
      <c r="C96" s="74">
        <f>C94-C95</f>
        <v>-1256297</v>
      </c>
      <c r="D96" s="74">
        <f>D94-D95</f>
        <v>-1256297</v>
      </c>
      <c r="E96" s="74" t="str">
        <f t="shared" si="2"/>
        <v>-</v>
      </c>
      <c r="F96" s="107">
        <f t="shared" si="3"/>
        <v>1</v>
      </c>
      <c r="H96" s="139"/>
    </row>
    <row r="97" spans="1:8" s="19" customFormat="1" ht="33" customHeight="1">
      <c r="A97" s="53" t="s">
        <v>157</v>
      </c>
      <c r="B97" s="73" t="s">
        <v>116</v>
      </c>
      <c r="C97" s="74">
        <f>C7+C13+C21+C22+C23+C24+C80+C86-C19</f>
        <v>66909138</v>
      </c>
      <c r="D97" s="74">
        <f>D7+D13+D21+D22+D23+D24+D80+D86-D19</f>
        <v>66909138</v>
      </c>
      <c r="E97" s="74" t="str">
        <f t="shared" si="2"/>
        <v>-</v>
      </c>
      <c r="F97" s="107">
        <f t="shared" si="3"/>
        <v>1</v>
      </c>
      <c r="H97" s="139"/>
    </row>
    <row r="98" spans="1:8" s="19" customFormat="1" ht="33" customHeight="1">
      <c r="A98" s="70" t="s">
        <v>158</v>
      </c>
      <c r="B98" s="72" t="s">
        <v>117</v>
      </c>
      <c r="C98" s="74">
        <f>C10+C16+C26+C27+C55+C56+C59+C81+C89</f>
        <v>68165435</v>
      </c>
      <c r="D98" s="74">
        <f>D10+D16+D26+D27+D55+D56+D59+D81+D89</f>
        <v>68165435</v>
      </c>
      <c r="E98" s="74" t="str">
        <f t="shared" si="2"/>
        <v>-</v>
      </c>
      <c r="F98" s="107">
        <f t="shared" si="3"/>
        <v>1</v>
      </c>
      <c r="H98" s="139"/>
    </row>
    <row r="99" ht="26.25">
      <c r="C99" s="20"/>
    </row>
    <row r="100" ht="26.25">
      <c r="C100" s="20"/>
    </row>
    <row r="101" ht="26.25">
      <c r="C101" s="20"/>
    </row>
    <row r="102" ht="26.25">
      <c r="C102" s="20"/>
    </row>
    <row r="103" ht="26.25">
      <c r="C103" s="20"/>
    </row>
    <row r="104" ht="26.25">
      <c r="C104" s="20"/>
    </row>
    <row r="105" ht="26.25">
      <c r="C105" s="20"/>
    </row>
    <row r="106" ht="26.25">
      <c r="C106" s="20"/>
    </row>
    <row r="107" ht="26.25">
      <c r="C107" s="20"/>
    </row>
    <row r="108" ht="26.25">
      <c r="C108" s="20"/>
    </row>
    <row r="109" ht="26.25">
      <c r="C109" s="20"/>
    </row>
  </sheetData>
  <sheetProtection/>
  <mergeCells count="8">
    <mergeCell ref="A2:B2"/>
    <mergeCell ref="A4:A5"/>
    <mergeCell ref="B4:B5"/>
    <mergeCell ref="C4:C5"/>
    <mergeCell ref="A1:F1"/>
    <mergeCell ref="D4:D5"/>
    <mergeCell ref="E4:E5"/>
    <mergeCell ref="F4:F5"/>
  </mergeCells>
  <printOptions horizontalCentered="1"/>
  <pageMargins left="0" right="0" top="0.3937007874015748" bottom="0.5905511811023623" header="0.5118110236220472" footer="0.3937007874015748"/>
  <pageSetup fitToHeight="2" horizontalDpi="600" verticalDpi="600" orientation="portrait" paperSize="9" scale="40" r:id="rId1"/>
  <headerFooter alignWithMargins="0">
    <oddFooter>&amp;R&amp;20&amp;P</oddFooter>
  </headerFooter>
  <rowBreaks count="1" manualBreakCount="1">
    <brk id="58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showGridLines="0" view="pageBreakPreview" zoomScale="55" zoomScaleNormal="70" zoomScaleSheetLayoutView="55" zoomScalePageLayoutView="0" workbookViewId="0" topLeftCell="A1">
      <pane xSplit="2" ySplit="7" topLeftCell="C47" activePane="bottomRight" state="frozen"/>
      <selection pane="topLeft" activeCell="G1" sqref="G1:S65536"/>
      <selection pane="topRight" activeCell="G1" sqref="G1:S65536"/>
      <selection pane="bottomLeft" activeCell="G1" sqref="G1:S65536"/>
      <selection pane="bottomRight" activeCell="G1" sqref="G1:S65536"/>
    </sheetView>
  </sheetViews>
  <sheetFormatPr defaultColWidth="9.00390625" defaultRowHeight="12.75"/>
  <cols>
    <col min="1" max="1" width="9.125" style="2" customWidth="1"/>
    <col min="2" max="2" width="125.875" style="2" customWidth="1"/>
    <col min="3" max="3" width="25.75390625" style="2" customWidth="1"/>
    <col min="4" max="4" width="26.875" style="2" customWidth="1"/>
    <col min="5" max="5" width="25.125" style="2" customWidth="1"/>
    <col min="6" max="6" width="20.75390625" style="2" customWidth="1"/>
    <col min="7" max="16384" width="9.125" style="2" customWidth="1"/>
  </cols>
  <sheetData>
    <row r="1" spans="1:6" s="48" customFormat="1" ht="38.25" customHeight="1">
      <c r="A1" s="152" t="str">
        <f>NFZ!A1</f>
        <v>ZMIANA PLANU NARODOWEGO FUNDUSZU ZDROWIA NA 2014 R. Z DNIA 30 GRUDNIA 2014 R.</v>
      </c>
      <c r="B1" s="152"/>
      <c r="C1" s="152"/>
      <c r="D1" s="152"/>
      <c r="E1" s="152"/>
      <c r="F1" s="152"/>
    </row>
    <row r="2" spans="1:3" s="50" customFormat="1" ht="33" customHeight="1">
      <c r="A2" s="88" t="s">
        <v>68</v>
      </c>
      <c r="B2" s="88"/>
      <c r="C2" s="94"/>
    </row>
    <row r="3" spans="1:6" ht="33" customHeight="1">
      <c r="A3" s="8"/>
      <c r="B3" s="9"/>
      <c r="C3" s="87"/>
      <c r="D3" s="87"/>
      <c r="E3" s="87" t="s">
        <v>159</v>
      </c>
      <c r="F3" s="10"/>
    </row>
    <row r="4" spans="1:6" s="6" customFormat="1" ht="45" customHeight="1">
      <c r="A4" s="149" t="s">
        <v>132</v>
      </c>
      <c r="B4" s="149" t="s">
        <v>55</v>
      </c>
      <c r="C4" s="150" t="s">
        <v>236</v>
      </c>
      <c r="D4" s="150" t="s">
        <v>191</v>
      </c>
      <c r="E4" s="153" t="s">
        <v>192</v>
      </c>
      <c r="F4" s="153" t="s">
        <v>193</v>
      </c>
    </row>
    <row r="5" spans="1:6" s="6" customFormat="1" ht="45" customHeight="1">
      <c r="A5" s="149"/>
      <c r="B5" s="149"/>
      <c r="C5" s="151"/>
      <c r="D5" s="151"/>
      <c r="E5" s="153"/>
      <c r="F5" s="153"/>
    </row>
    <row r="6" spans="1:6" s="4" customFormat="1" ht="14.25">
      <c r="A6" s="47">
        <v>1</v>
      </c>
      <c r="B6" s="52">
        <v>2</v>
      </c>
      <c r="C6" s="47">
        <v>3</v>
      </c>
      <c r="D6" s="52">
        <v>4</v>
      </c>
      <c r="E6" s="47">
        <v>5</v>
      </c>
      <c r="F6" s="52">
        <v>6</v>
      </c>
    </row>
    <row r="7" spans="1:6" s="3" customFormat="1" ht="30" customHeight="1">
      <c r="A7" s="23" t="s">
        <v>0</v>
      </c>
      <c r="B7" s="39" t="s">
        <v>248</v>
      </c>
      <c r="C7" s="16">
        <f>C8+C9+C10+C15+C16+C17+C18+C19+C20+C21+C22+C23+C24+C25+C29+C30+C32+C33</f>
        <v>9177460</v>
      </c>
      <c r="D7" s="16">
        <f>D8+D9+D10+D15+D16+D17+D18+D19+D20+D21+D22+D23+D24+D25+D29+D30+D32+D33</f>
        <v>9186938</v>
      </c>
      <c r="E7" s="13">
        <f>IF(C7=D7,"-",D7-C7)</f>
        <v>9478</v>
      </c>
      <c r="F7" s="95">
        <f>IF(C7=0,"-",D7/C7)</f>
        <v>1.001</v>
      </c>
    </row>
    <row r="8" spans="1:6" ht="33" customHeight="1">
      <c r="A8" s="29" t="s">
        <v>1</v>
      </c>
      <c r="B8" s="35" t="s">
        <v>133</v>
      </c>
      <c r="C8" s="81">
        <v>1089175</v>
      </c>
      <c r="D8" s="25">
        <f>C8</f>
        <v>1089175</v>
      </c>
      <c r="E8" s="96" t="str">
        <f aca="true" t="shared" si="0" ref="E8:E64">IF(C8=D8,"-",D8-C8)</f>
        <v>-</v>
      </c>
      <c r="F8" s="97">
        <f aca="true" t="shared" si="1" ref="F8:F64">IF(C8=0,"-",D8/C8)</f>
        <v>1</v>
      </c>
    </row>
    <row r="9" spans="1:6" ht="33" customHeight="1">
      <c r="A9" s="29" t="s">
        <v>2</v>
      </c>
      <c r="B9" s="35" t="s">
        <v>134</v>
      </c>
      <c r="C9" s="81">
        <v>774865</v>
      </c>
      <c r="D9" s="25">
        <f aca="true" t="shared" si="2" ref="D9:D34">C9</f>
        <v>774865</v>
      </c>
      <c r="E9" s="96" t="str">
        <f t="shared" si="0"/>
        <v>-</v>
      </c>
      <c r="F9" s="97">
        <f t="shared" si="1"/>
        <v>1</v>
      </c>
    </row>
    <row r="10" spans="1:6" ht="33" customHeight="1">
      <c r="A10" s="29" t="s">
        <v>3</v>
      </c>
      <c r="B10" s="35" t="s">
        <v>131</v>
      </c>
      <c r="C10" s="81">
        <v>4578750</v>
      </c>
      <c r="D10" s="25">
        <f>C10+9478</f>
        <v>4588228</v>
      </c>
      <c r="E10" s="96">
        <f t="shared" si="0"/>
        <v>9478</v>
      </c>
      <c r="F10" s="97">
        <f t="shared" si="1"/>
        <v>1.0021</v>
      </c>
    </row>
    <row r="11" spans="1:6" ht="31.5" customHeight="1">
      <c r="A11" s="28" t="s">
        <v>57</v>
      </c>
      <c r="B11" s="34" t="s">
        <v>160</v>
      </c>
      <c r="C11" s="81">
        <v>408474</v>
      </c>
      <c r="D11" s="25">
        <f t="shared" si="2"/>
        <v>408474</v>
      </c>
      <c r="E11" s="96" t="str">
        <f t="shared" si="0"/>
        <v>-</v>
      </c>
      <c r="F11" s="97">
        <f t="shared" si="1"/>
        <v>1</v>
      </c>
    </row>
    <row r="12" spans="1:6" ht="31.5" customHeight="1">
      <c r="A12" s="28" t="s">
        <v>161</v>
      </c>
      <c r="B12" s="34" t="s">
        <v>164</v>
      </c>
      <c r="C12" s="81">
        <v>372374</v>
      </c>
      <c r="D12" s="25">
        <f t="shared" si="2"/>
        <v>372374</v>
      </c>
      <c r="E12" s="96" t="str">
        <f>IF(C12=D12,"-",D12-C12)</f>
        <v>-</v>
      </c>
      <c r="F12" s="97">
        <f t="shared" si="1"/>
        <v>1</v>
      </c>
    </row>
    <row r="13" spans="1:6" ht="31.5" customHeight="1">
      <c r="A13" s="28" t="s">
        <v>162</v>
      </c>
      <c r="B13" s="34" t="s">
        <v>165</v>
      </c>
      <c r="C13" s="81">
        <v>219545</v>
      </c>
      <c r="D13" s="25">
        <f t="shared" si="2"/>
        <v>219545</v>
      </c>
      <c r="E13" s="96" t="str">
        <f t="shared" si="0"/>
        <v>-</v>
      </c>
      <c r="F13" s="97">
        <f t="shared" si="1"/>
        <v>1</v>
      </c>
    </row>
    <row r="14" spans="1:6" ht="31.5" customHeight="1">
      <c r="A14" s="28" t="s">
        <v>163</v>
      </c>
      <c r="B14" s="34" t="s">
        <v>166</v>
      </c>
      <c r="C14" s="81">
        <v>77973</v>
      </c>
      <c r="D14" s="25">
        <f t="shared" si="2"/>
        <v>77973</v>
      </c>
      <c r="E14" s="96" t="str">
        <f t="shared" si="0"/>
        <v>-</v>
      </c>
      <c r="F14" s="97">
        <f t="shared" si="1"/>
        <v>1</v>
      </c>
    </row>
    <row r="15" spans="1:6" ht="33" customHeight="1">
      <c r="A15" s="29" t="s">
        <v>4</v>
      </c>
      <c r="B15" s="35" t="s">
        <v>139</v>
      </c>
      <c r="C15" s="81">
        <v>361811</v>
      </c>
      <c r="D15" s="25">
        <f t="shared" si="2"/>
        <v>361811</v>
      </c>
      <c r="E15" s="96" t="str">
        <f t="shared" si="0"/>
        <v>-</v>
      </c>
      <c r="F15" s="97">
        <f t="shared" si="1"/>
        <v>1</v>
      </c>
    </row>
    <row r="16" spans="1:6" ht="33" customHeight="1">
      <c r="A16" s="29" t="s">
        <v>5</v>
      </c>
      <c r="B16" s="35" t="s">
        <v>135</v>
      </c>
      <c r="C16" s="81">
        <v>396281</v>
      </c>
      <c r="D16" s="25">
        <f t="shared" si="2"/>
        <v>396281</v>
      </c>
      <c r="E16" s="96" t="str">
        <f t="shared" si="0"/>
        <v>-</v>
      </c>
      <c r="F16" s="97">
        <f t="shared" si="1"/>
        <v>1</v>
      </c>
    </row>
    <row r="17" spans="1:6" ht="33" customHeight="1">
      <c r="A17" s="29" t="s">
        <v>6</v>
      </c>
      <c r="B17" s="35" t="s">
        <v>141</v>
      </c>
      <c r="C17" s="81">
        <v>146215</v>
      </c>
      <c r="D17" s="25">
        <f t="shared" si="2"/>
        <v>146215</v>
      </c>
      <c r="E17" s="96" t="str">
        <f t="shared" si="0"/>
        <v>-</v>
      </c>
      <c r="F17" s="97">
        <f t="shared" si="1"/>
        <v>1</v>
      </c>
    </row>
    <row r="18" spans="1:6" ht="33" customHeight="1">
      <c r="A18" s="29" t="s">
        <v>7</v>
      </c>
      <c r="B18" s="35" t="s">
        <v>140</v>
      </c>
      <c r="C18" s="81">
        <v>41110</v>
      </c>
      <c r="D18" s="25">
        <f t="shared" si="2"/>
        <v>41110</v>
      </c>
      <c r="E18" s="96" t="str">
        <f t="shared" si="0"/>
        <v>-</v>
      </c>
      <c r="F18" s="97">
        <f t="shared" si="1"/>
        <v>1</v>
      </c>
    </row>
    <row r="19" spans="1:6" ht="33" customHeight="1">
      <c r="A19" s="29" t="s">
        <v>8</v>
      </c>
      <c r="B19" s="35" t="s">
        <v>136</v>
      </c>
      <c r="C19" s="81">
        <v>191891</v>
      </c>
      <c r="D19" s="25">
        <f t="shared" si="2"/>
        <v>191891</v>
      </c>
      <c r="E19" s="96" t="str">
        <f t="shared" si="0"/>
        <v>-</v>
      </c>
      <c r="F19" s="97">
        <f t="shared" si="1"/>
        <v>1</v>
      </c>
    </row>
    <row r="20" spans="1:6" ht="33" customHeight="1">
      <c r="A20" s="29" t="s">
        <v>9</v>
      </c>
      <c r="B20" s="35" t="s">
        <v>137</v>
      </c>
      <c r="C20" s="81">
        <v>95731</v>
      </c>
      <c r="D20" s="25">
        <f t="shared" si="2"/>
        <v>95731</v>
      </c>
      <c r="E20" s="96" t="str">
        <f t="shared" si="0"/>
        <v>-</v>
      </c>
      <c r="F20" s="97">
        <f t="shared" si="1"/>
        <v>1</v>
      </c>
    </row>
    <row r="21" spans="1:6" ht="33" customHeight="1">
      <c r="A21" s="29" t="s">
        <v>10</v>
      </c>
      <c r="B21" s="35" t="s">
        <v>142</v>
      </c>
      <c r="C21" s="81">
        <v>7805</v>
      </c>
      <c r="D21" s="25">
        <f t="shared" si="2"/>
        <v>7805</v>
      </c>
      <c r="E21" s="96" t="str">
        <f t="shared" si="0"/>
        <v>-</v>
      </c>
      <c r="F21" s="97">
        <f t="shared" si="1"/>
        <v>1</v>
      </c>
    </row>
    <row r="22" spans="1:6" ht="46.5" customHeight="1">
      <c r="A22" s="29" t="s">
        <v>11</v>
      </c>
      <c r="B22" s="35" t="s">
        <v>138</v>
      </c>
      <c r="C22" s="81">
        <v>22760</v>
      </c>
      <c r="D22" s="25">
        <f t="shared" si="2"/>
        <v>22760</v>
      </c>
      <c r="E22" s="96" t="str">
        <f t="shared" si="0"/>
        <v>-</v>
      </c>
      <c r="F22" s="97">
        <f t="shared" si="1"/>
        <v>1</v>
      </c>
    </row>
    <row r="23" spans="1:6" ht="33" customHeight="1">
      <c r="A23" s="29" t="s">
        <v>12</v>
      </c>
      <c r="B23" s="35" t="s">
        <v>185</v>
      </c>
      <c r="C23" s="81">
        <v>257145</v>
      </c>
      <c r="D23" s="25">
        <f t="shared" si="2"/>
        <v>257145</v>
      </c>
      <c r="E23" s="96" t="str">
        <f t="shared" si="0"/>
        <v>-</v>
      </c>
      <c r="F23" s="97">
        <f t="shared" si="1"/>
        <v>1</v>
      </c>
    </row>
    <row r="24" spans="1:6" ht="33" customHeight="1">
      <c r="A24" s="29" t="s">
        <v>13</v>
      </c>
      <c r="B24" s="35" t="s">
        <v>167</v>
      </c>
      <c r="C24" s="81">
        <v>109500</v>
      </c>
      <c r="D24" s="25">
        <f t="shared" si="2"/>
        <v>109500</v>
      </c>
      <c r="E24" s="96" t="str">
        <f t="shared" si="0"/>
        <v>-</v>
      </c>
      <c r="F24" s="97">
        <f t="shared" si="1"/>
        <v>1</v>
      </c>
    </row>
    <row r="25" spans="1:6" ht="33" customHeight="1">
      <c r="A25" s="30" t="s">
        <v>14</v>
      </c>
      <c r="B25" s="78" t="s">
        <v>249</v>
      </c>
      <c r="C25" s="81">
        <f>SUM(C26:C28)</f>
        <v>1086552</v>
      </c>
      <c r="D25" s="81">
        <f>SUM(D26:D28)</f>
        <v>1086552</v>
      </c>
      <c r="E25" s="96" t="str">
        <f t="shared" si="0"/>
        <v>-</v>
      </c>
      <c r="F25" s="97">
        <f t="shared" si="1"/>
        <v>1</v>
      </c>
    </row>
    <row r="26" spans="1:6" ht="31.5">
      <c r="A26" s="28" t="s">
        <v>143</v>
      </c>
      <c r="B26" s="34" t="s">
        <v>170</v>
      </c>
      <c r="C26" s="81">
        <v>1078245</v>
      </c>
      <c r="D26" s="25">
        <f t="shared" si="2"/>
        <v>1078245</v>
      </c>
      <c r="E26" s="96" t="str">
        <f t="shared" si="0"/>
        <v>-</v>
      </c>
      <c r="F26" s="97">
        <f t="shared" si="1"/>
        <v>1</v>
      </c>
    </row>
    <row r="27" spans="1:6" ht="31.5" customHeight="1">
      <c r="A27" s="28" t="s">
        <v>169</v>
      </c>
      <c r="B27" s="34" t="s">
        <v>172</v>
      </c>
      <c r="C27" s="81">
        <v>6252</v>
      </c>
      <c r="D27" s="25">
        <f t="shared" si="2"/>
        <v>6252</v>
      </c>
      <c r="E27" s="96" t="str">
        <f t="shared" si="0"/>
        <v>-</v>
      </c>
      <c r="F27" s="97">
        <f t="shared" si="1"/>
        <v>1</v>
      </c>
    </row>
    <row r="28" spans="1:6" ht="31.5" customHeight="1">
      <c r="A28" s="28" t="s">
        <v>173</v>
      </c>
      <c r="B28" s="34" t="s">
        <v>171</v>
      </c>
      <c r="C28" s="81">
        <v>2055</v>
      </c>
      <c r="D28" s="25">
        <f t="shared" si="2"/>
        <v>2055</v>
      </c>
      <c r="E28" s="96" t="str">
        <f t="shared" si="0"/>
        <v>-</v>
      </c>
      <c r="F28" s="97">
        <f t="shared" si="1"/>
        <v>1</v>
      </c>
    </row>
    <row r="29" spans="1:6" ht="33" customHeight="1">
      <c r="A29" s="31" t="s">
        <v>15</v>
      </c>
      <c r="B29" s="36" t="s">
        <v>122</v>
      </c>
      <c r="C29" s="81">
        <v>0</v>
      </c>
      <c r="D29" s="25">
        <f t="shared" si="2"/>
        <v>0</v>
      </c>
      <c r="E29" s="96" t="str">
        <f t="shared" si="0"/>
        <v>-</v>
      </c>
      <c r="F29" s="97" t="str">
        <f t="shared" si="1"/>
        <v>-</v>
      </c>
    </row>
    <row r="30" spans="1:6" ht="33" customHeight="1">
      <c r="A30" s="31" t="s">
        <v>119</v>
      </c>
      <c r="B30" s="37" t="s">
        <v>174</v>
      </c>
      <c r="C30" s="81">
        <v>0</v>
      </c>
      <c r="D30" s="25">
        <f t="shared" si="2"/>
        <v>0</v>
      </c>
      <c r="E30" s="96" t="str">
        <f t="shared" si="0"/>
        <v>-</v>
      </c>
      <c r="F30" s="97" t="str">
        <f t="shared" si="1"/>
        <v>-</v>
      </c>
    </row>
    <row r="31" spans="1:6" ht="31.5" customHeight="1">
      <c r="A31" s="28" t="s">
        <v>175</v>
      </c>
      <c r="B31" s="34" t="s">
        <v>187</v>
      </c>
      <c r="C31" s="81">
        <v>0</v>
      </c>
      <c r="D31" s="25">
        <f t="shared" si="2"/>
        <v>0</v>
      </c>
      <c r="E31" s="96" t="str">
        <f t="shared" si="0"/>
        <v>-</v>
      </c>
      <c r="F31" s="97" t="str">
        <f t="shared" si="1"/>
        <v>-</v>
      </c>
    </row>
    <row r="32" spans="1:6" ht="33" customHeight="1">
      <c r="A32" s="31" t="s">
        <v>120</v>
      </c>
      <c r="B32" s="37" t="s">
        <v>123</v>
      </c>
      <c r="C32" s="81">
        <v>0</v>
      </c>
      <c r="D32" s="25">
        <f t="shared" si="2"/>
        <v>0</v>
      </c>
      <c r="E32" s="96" t="str">
        <f t="shared" si="0"/>
        <v>-</v>
      </c>
      <c r="F32" s="97" t="str">
        <f t="shared" si="1"/>
        <v>-</v>
      </c>
    </row>
    <row r="33" spans="1:6" ht="33" customHeight="1">
      <c r="A33" s="31" t="s">
        <v>121</v>
      </c>
      <c r="B33" s="37" t="s">
        <v>186</v>
      </c>
      <c r="C33" s="81">
        <v>17869</v>
      </c>
      <c r="D33" s="25">
        <f t="shared" si="2"/>
        <v>17869</v>
      </c>
      <c r="E33" s="96" t="str">
        <f t="shared" si="0"/>
        <v>-</v>
      </c>
      <c r="F33" s="97">
        <f t="shared" si="1"/>
        <v>1</v>
      </c>
    </row>
    <row r="34" spans="1:6" ht="51.75" customHeight="1">
      <c r="A34" s="31" t="s">
        <v>246</v>
      </c>
      <c r="B34" s="37" t="s">
        <v>247</v>
      </c>
      <c r="C34" s="81">
        <v>0</v>
      </c>
      <c r="D34" s="25">
        <f t="shared" si="2"/>
        <v>0</v>
      </c>
      <c r="E34" s="96" t="str">
        <f>IF(C34=D34,"-",D34-C34)</f>
        <v>-</v>
      </c>
      <c r="F34" s="97" t="str">
        <f>IF(C34=0,"-",D34/C34)</f>
        <v>-</v>
      </c>
    </row>
    <row r="35" spans="1:6" s="5" customFormat="1" ht="31.5" customHeight="1">
      <c r="A35" s="32" t="s">
        <v>59</v>
      </c>
      <c r="B35" s="38" t="s">
        <v>60</v>
      </c>
      <c r="C35" s="84">
        <v>0</v>
      </c>
      <c r="D35" s="92">
        <f>C35</f>
        <v>0</v>
      </c>
      <c r="E35" s="15" t="str">
        <f t="shared" si="0"/>
        <v>-</v>
      </c>
      <c r="F35" s="98" t="str">
        <f t="shared" si="1"/>
        <v>-</v>
      </c>
    </row>
    <row r="36" spans="1:6" s="5" customFormat="1" ht="31.5" customHeight="1">
      <c r="A36" s="32" t="s">
        <v>58</v>
      </c>
      <c r="B36" s="38" t="s">
        <v>61</v>
      </c>
      <c r="C36" s="84">
        <v>228795</v>
      </c>
      <c r="D36" s="93">
        <f>C36</f>
        <v>228795</v>
      </c>
      <c r="E36" s="15" t="str">
        <f t="shared" si="0"/>
        <v>-</v>
      </c>
      <c r="F36" s="98">
        <f t="shared" si="1"/>
        <v>1</v>
      </c>
    </row>
    <row r="37" spans="1:6" s="5" customFormat="1" ht="42.75" customHeight="1">
      <c r="A37" s="32" t="s">
        <v>176</v>
      </c>
      <c r="B37" s="38" t="s">
        <v>177</v>
      </c>
      <c r="C37" s="84">
        <v>1536899</v>
      </c>
      <c r="D37" s="84">
        <f>D12+D14+D25+D31</f>
        <v>1536899</v>
      </c>
      <c r="E37" s="15" t="str">
        <f t="shared" si="0"/>
        <v>-</v>
      </c>
      <c r="F37" s="98">
        <f t="shared" si="1"/>
        <v>1</v>
      </c>
    </row>
    <row r="38" spans="1:6" s="3" customFormat="1" ht="30" customHeight="1">
      <c r="A38" s="26" t="s">
        <v>16</v>
      </c>
      <c r="B38" s="46" t="s">
        <v>250</v>
      </c>
      <c r="C38" s="24">
        <f>C39+C40+C41+C49+C51+C57+C58+C56</f>
        <v>68976</v>
      </c>
      <c r="D38" s="24">
        <f>D39+D40+D41+D49+D51+D57+D58+D56</f>
        <v>68976</v>
      </c>
      <c r="E38" s="13" t="str">
        <f t="shared" si="0"/>
        <v>-</v>
      </c>
      <c r="F38" s="99">
        <f t="shared" si="1"/>
        <v>1</v>
      </c>
    </row>
    <row r="39" spans="1:6" ht="28.5" customHeight="1">
      <c r="A39" s="31" t="s">
        <v>17</v>
      </c>
      <c r="B39" s="40" t="s">
        <v>18</v>
      </c>
      <c r="C39" s="81">
        <v>2800</v>
      </c>
      <c r="D39" s="85">
        <f>C39</f>
        <v>2800</v>
      </c>
      <c r="E39" s="96" t="str">
        <f t="shared" si="0"/>
        <v>-</v>
      </c>
      <c r="F39" s="97">
        <f t="shared" si="1"/>
        <v>1</v>
      </c>
    </row>
    <row r="40" spans="1:6" ht="28.5" customHeight="1">
      <c r="A40" s="31" t="s">
        <v>19</v>
      </c>
      <c r="B40" s="40" t="s">
        <v>20</v>
      </c>
      <c r="C40" s="81">
        <v>11602</v>
      </c>
      <c r="D40" s="85">
        <f>C40</f>
        <v>11602</v>
      </c>
      <c r="E40" s="96" t="str">
        <f t="shared" si="0"/>
        <v>-</v>
      </c>
      <c r="F40" s="97">
        <f t="shared" si="1"/>
        <v>1</v>
      </c>
    </row>
    <row r="41" spans="1:6" ht="28.5" customHeight="1">
      <c r="A41" s="31" t="s">
        <v>21</v>
      </c>
      <c r="B41" s="41" t="s">
        <v>251</v>
      </c>
      <c r="C41" s="85">
        <f>C42+C44+C45+C46+C47+C48</f>
        <v>461</v>
      </c>
      <c r="D41" s="85">
        <f>D42+D44+D45+D46+D47+D48</f>
        <v>461</v>
      </c>
      <c r="E41" s="96" t="str">
        <f t="shared" si="0"/>
        <v>-</v>
      </c>
      <c r="F41" s="97">
        <f t="shared" si="1"/>
        <v>1</v>
      </c>
    </row>
    <row r="42" spans="1:6" ht="28.5" customHeight="1">
      <c r="A42" s="42" t="s">
        <v>39</v>
      </c>
      <c r="B42" s="43" t="s">
        <v>32</v>
      </c>
      <c r="C42" s="81">
        <v>28</v>
      </c>
      <c r="D42" s="85">
        <f>C42</f>
        <v>28</v>
      </c>
      <c r="E42" s="96" t="str">
        <f t="shared" si="0"/>
        <v>-</v>
      </c>
      <c r="F42" s="97">
        <f t="shared" si="1"/>
        <v>1</v>
      </c>
    </row>
    <row r="43" spans="1:6" ht="28.5" customHeight="1">
      <c r="A43" s="42" t="s">
        <v>40</v>
      </c>
      <c r="B43" s="44" t="s">
        <v>33</v>
      </c>
      <c r="C43" s="81">
        <v>28</v>
      </c>
      <c r="D43" s="85">
        <f aca="true" t="shared" si="3" ref="D43:D55">C43</f>
        <v>28</v>
      </c>
      <c r="E43" s="96" t="str">
        <f t="shared" si="0"/>
        <v>-</v>
      </c>
      <c r="F43" s="97">
        <f t="shared" si="1"/>
        <v>1</v>
      </c>
    </row>
    <row r="44" spans="1:6" ht="28.5" customHeight="1">
      <c r="A44" s="42" t="s">
        <v>41</v>
      </c>
      <c r="B44" s="43" t="s">
        <v>34</v>
      </c>
      <c r="C44" s="81">
        <v>40</v>
      </c>
      <c r="D44" s="85">
        <f t="shared" si="3"/>
        <v>40</v>
      </c>
      <c r="E44" s="96" t="str">
        <f t="shared" si="0"/>
        <v>-</v>
      </c>
      <c r="F44" s="97">
        <f t="shared" si="1"/>
        <v>1</v>
      </c>
    </row>
    <row r="45" spans="1:6" ht="28.5" customHeight="1">
      <c r="A45" s="42" t="s">
        <v>42</v>
      </c>
      <c r="B45" s="43" t="s">
        <v>35</v>
      </c>
      <c r="C45" s="81">
        <v>0</v>
      </c>
      <c r="D45" s="85">
        <f t="shared" si="3"/>
        <v>0</v>
      </c>
      <c r="E45" s="96" t="str">
        <f t="shared" si="0"/>
        <v>-</v>
      </c>
      <c r="F45" s="97" t="str">
        <f t="shared" si="1"/>
        <v>-</v>
      </c>
    </row>
    <row r="46" spans="1:6" ht="28.5" customHeight="1">
      <c r="A46" s="42" t="s">
        <v>43</v>
      </c>
      <c r="B46" s="43" t="s">
        <v>36</v>
      </c>
      <c r="C46" s="81">
        <v>0</v>
      </c>
      <c r="D46" s="85">
        <f t="shared" si="3"/>
        <v>0</v>
      </c>
      <c r="E46" s="96" t="str">
        <f t="shared" si="0"/>
        <v>-</v>
      </c>
      <c r="F46" s="97" t="str">
        <f t="shared" si="1"/>
        <v>-</v>
      </c>
    </row>
    <row r="47" spans="1:6" ht="28.5" customHeight="1">
      <c r="A47" s="42" t="s">
        <v>44</v>
      </c>
      <c r="B47" s="43" t="s">
        <v>37</v>
      </c>
      <c r="C47" s="81">
        <v>365</v>
      </c>
      <c r="D47" s="85">
        <f t="shared" si="3"/>
        <v>365</v>
      </c>
      <c r="E47" s="96" t="str">
        <f t="shared" si="0"/>
        <v>-</v>
      </c>
      <c r="F47" s="97">
        <f t="shared" si="1"/>
        <v>1</v>
      </c>
    </row>
    <row r="48" spans="1:6" ht="28.5" customHeight="1">
      <c r="A48" s="42" t="s">
        <v>45</v>
      </c>
      <c r="B48" s="43" t="s">
        <v>38</v>
      </c>
      <c r="C48" s="81">
        <v>28</v>
      </c>
      <c r="D48" s="85">
        <f>C48</f>
        <v>28</v>
      </c>
      <c r="E48" s="96" t="str">
        <f t="shared" si="0"/>
        <v>-</v>
      </c>
      <c r="F48" s="97">
        <f t="shared" si="1"/>
        <v>1</v>
      </c>
    </row>
    <row r="49" spans="1:6" ht="28.5" customHeight="1">
      <c r="A49" s="31" t="s">
        <v>22</v>
      </c>
      <c r="B49" s="40" t="s">
        <v>178</v>
      </c>
      <c r="C49" s="81">
        <v>40421</v>
      </c>
      <c r="D49" s="85">
        <f>C49</f>
        <v>40421</v>
      </c>
      <c r="E49" s="96" t="str">
        <f t="shared" si="0"/>
        <v>-</v>
      </c>
      <c r="F49" s="97">
        <f t="shared" si="1"/>
        <v>1</v>
      </c>
    </row>
    <row r="50" spans="1:6" ht="28.5" customHeight="1">
      <c r="A50" s="42" t="s">
        <v>179</v>
      </c>
      <c r="B50" s="43" t="s">
        <v>180</v>
      </c>
      <c r="C50" s="81">
        <v>89</v>
      </c>
      <c r="D50" s="85">
        <f>C50</f>
        <v>89</v>
      </c>
      <c r="E50" s="96" t="str">
        <f t="shared" si="0"/>
        <v>-</v>
      </c>
      <c r="F50" s="97">
        <f t="shared" si="1"/>
        <v>1</v>
      </c>
    </row>
    <row r="51" spans="1:6" ht="28.5" customHeight="1">
      <c r="A51" s="31" t="s">
        <v>23</v>
      </c>
      <c r="B51" s="41" t="s">
        <v>252</v>
      </c>
      <c r="C51" s="77">
        <f>C52+C53+C54+C55</f>
        <v>8938</v>
      </c>
      <c r="D51" s="77">
        <f>D52+D53+D54+D55</f>
        <v>8938</v>
      </c>
      <c r="E51" s="96" t="str">
        <f t="shared" si="0"/>
        <v>-</v>
      </c>
      <c r="F51" s="97">
        <f t="shared" si="1"/>
        <v>1</v>
      </c>
    </row>
    <row r="52" spans="1:6" ht="28.5" customHeight="1">
      <c r="A52" s="42" t="s">
        <v>50</v>
      </c>
      <c r="B52" s="43" t="s">
        <v>46</v>
      </c>
      <c r="C52" s="81">
        <v>6948</v>
      </c>
      <c r="D52" s="85">
        <f t="shared" si="3"/>
        <v>6948</v>
      </c>
      <c r="E52" s="96" t="str">
        <f t="shared" si="0"/>
        <v>-</v>
      </c>
      <c r="F52" s="97">
        <f t="shared" si="1"/>
        <v>1</v>
      </c>
    </row>
    <row r="53" spans="1:6" ht="28.5" customHeight="1">
      <c r="A53" s="42" t="s">
        <v>51</v>
      </c>
      <c r="B53" s="43" t="s">
        <v>47</v>
      </c>
      <c r="C53" s="81">
        <v>991</v>
      </c>
      <c r="D53" s="85">
        <f t="shared" si="3"/>
        <v>991</v>
      </c>
      <c r="E53" s="96" t="str">
        <f t="shared" si="0"/>
        <v>-</v>
      </c>
      <c r="F53" s="97">
        <f t="shared" si="1"/>
        <v>1</v>
      </c>
    </row>
    <row r="54" spans="1:6" ht="28.5" customHeight="1">
      <c r="A54" s="42" t="s">
        <v>52</v>
      </c>
      <c r="B54" s="43" t="s">
        <v>48</v>
      </c>
      <c r="C54" s="81">
        <v>0</v>
      </c>
      <c r="D54" s="85">
        <f t="shared" si="3"/>
        <v>0</v>
      </c>
      <c r="E54" s="96" t="str">
        <f t="shared" si="0"/>
        <v>-</v>
      </c>
      <c r="F54" s="97" t="str">
        <f t="shared" si="1"/>
        <v>-</v>
      </c>
    </row>
    <row r="55" spans="1:6" ht="28.5" customHeight="1">
      <c r="A55" s="42" t="s">
        <v>53</v>
      </c>
      <c r="B55" s="43" t="s">
        <v>49</v>
      </c>
      <c r="C55" s="81">
        <v>999</v>
      </c>
      <c r="D55" s="85">
        <f t="shared" si="3"/>
        <v>999</v>
      </c>
      <c r="E55" s="96" t="str">
        <f t="shared" si="0"/>
        <v>-</v>
      </c>
      <c r="F55" s="97">
        <f t="shared" si="1"/>
        <v>1</v>
      </c>
    </row>
    <row r="56" spans="1:6" ht="28.5" customHeight="1">
      <c r="A56" s="31" t="s">
        <v>24</v>
      </c>
      <c r="B56" s="40" t="s">
        <v>25</v>
      </c>
      <c r="C56" s="81">
        <v>0</v>
      </c>
      <c r="D56" s="85">
        <f>C56</f>
        <v>0</v>
      </c>
      <c r="E56" s="96" t="str">
        <f t="shared" si="0"/>
        <v>-</v>
      </c>
      <c r="F56" s="97" t="str">
        <f t="shared" si="1"/>
        <v>-</v>
      </c>
    </row>
    <row r="57" spans="1:6" ht="28.5" customHeight="1">
      <c r="A57" s="31" t="s">
        <v>26</v>
      </c>
      <c r="B57" s="40" t="s">
        <v>181</v>
      </c>
      <c r="C57" s="81">
        <v>3622</v>
      </c>
      <c r="D57" s="85">
        <f>C57</f>
        <v>3622</v>
      </c>
      <c r="E57" s="96" t="str">
        <f t="shared" si="0"/>
        <v>-</v>
      </c>
      <c r="F57" s="100">
        <f t="shared" si="1"/>
        <v>1</v>
      </c>
    </row>
    <row r="58" spans="1:6" ht="28.5" customHeight="1">
      <c r="A58" s="31" t="s">
        <v>27</v>
      </c>
      <c r="B58" s="40" t="s">
        <v>28</v>
      </c>
      <c r="C58" s="81">
        <v>1132</v>
      </c>
      <c r="D58" s="85">
        <f>C58</f>
        <v>1132</v>
      </c>
      <c r="E58" s="96" t="str">
        <f t="shared" si="0"/>
        <v>-</v>
      </c>
      <c r="F58" s="97">
        <f t="shared" si="1"/>
        <v>1</v>
      </c>
    </row>
    <row r="59" spans="1:6" s="3" customFormat="1" ht="30" customHeight="1">
      <c r="A59" s="33" t="s">
        <v>29</v>
      </c>
      <c r="B59" s="45" t="s">
        <v>182</v>
      </c>
      <c r="C59" s="27">
        <f>C60+C61+C62+C63</f>
        <v>43099</v>
      </c>
      <c r="D59" s="27">
        <f>D60+D61+D62+D63</f>
        <v>38341</v>
      </c>
      <c r="E59" s="13">
        <f t="shared" si="0"/>
        <v>-4758</v>
      </c>
      <c r="F59" s="101">
        <f t="shared" si="1"/>
        <v>0.8896</v>
      </c>
    </row>
    <row r="60" spans="1:6" ht="42" customHeight="1">
      <c r="A60" s="31" t="s">
        <v>102</v>
      </c>
      <c r="B60" s="40" t="s">
        <v>124</v>
      </c>
      <c r="C60" s="81">
        <v>0</v>
      </c>
      <c r="D60" s="85">
        <f>C60</f>
        <v>0</v>
      </c>
      <c r="E60" s="77" t="str">
        <f t="shared" si="0"/>
        <v>-</v>
      </c>
      <c r="F60" s="97" t="str">
        <f t="shared" si="1"/>
        <v>-</v>
      </c>
    </row>
    <row r="61" spans="1:6" ht="31.5" customHeight="1">
      <c r="A61" s="31" t="s">
        <v>30</v>
      </c>
      <c r="B61" s="40" t="s">
        <v>56</v>
      </c>
      <c r="C61" s="81">
        <v>31799</v>
      </c>
      <c r="D61" s="85">
        <f>C61-4757</f>
        <v>27042</v>
      </c>
      <c r="E61" s="77">
        <f t="shared" si="0"/>
        <v>-4757</v>
      </c>
      <c r="F61" s="97">
        <f t="shared" si="1"/>
        <v>0.8504</v>
      </c>
    </row>
    <row r="62" spans="1:6" ht="31.5" customHeight="1">
      <c r="A62" s="31" t="s">
        <v>31</v>
      </c>
      <c r="B62" s="40" t="s">
        <v>104</v>
      </c>
      <c r="C62" s="81">
        <v>0</v>
      </c>
      <c r="D62" s="85">
        <f>C62</f>
        <v>0</v>
      </c>
      <c r="E62" s="77" t="str">
        <f t="shared" si="0"/>
        <v>-</v>
      </c>
      <c r="F62" s="97" t="str">
        <f t="shared" si="1"/>
        <v>-</v>
      </c>
    </row>
    <row r="63" spans="1:6" ht="31.5" customHeight="1">
      <c r="A63" s="31" t="s">
        <v>103</v>
      </c>
      <c r="B63" s="40" t="s">
        <v>105</v>
      </c>
      <c r="C63" s="81">
        <v>11300</v>
      </c>
      <c r="D63" s="85">
        <f>C63-1</f>
        <v>11299</v>
      </c>
      <c r="E63" s="77">
        <f t="shared" si="0"/>
        <v>-1</v>
      </c>
      <c r="F63" s="97">
        <f t="shared" si="1"/>
        <v>0.9999</v>
      </c>
    </row>
    <row r="64" spans="1:6" ht="32.25" customHeight="1">
      <c r="A64" s="33" t="s">
        <v>110</v>
      </c>
      <c r="B64" s="45" t="s">
        <v>129</v>
      </c>
      <c r="C64" s="27">
        <v>12260</v>
      </c>
      <c r="D64" s="27">
        <f>C64+16464</f>
        <v>28724</v>
      </c>
      <c r="E64" s="13">
        <f t="shared" si="0"/>
        <v>16464</v>
      </c>
      <c r="F64" s="101">
        <f t="shared" si="1"/>
        <v>2.3429</v>
      </c>
    </row>
  </sheetData>
  <sheetProtection formatCells="0" formatColumns="0" formatRows="0" insertColumns="0" insertRows="0" insertHyperlinks="0" deleteColumns="0" deleteRows="0"/>
  <mergeCells count="7">
    <mergeCell ref="F4:F5"/>
    <mergeCell ref="A1:F1"/>
    <mergeCell ref="A4:A5"/>
    <mergeCell ref="B4:B5"/>
    <mergeCell ref="C4:C5"/>
    <mergeCell ref="D4:D5"/>
    <mergeCell ref="E4:E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8" r:id="rId1"/>
  <headerFooter alignWithMargins="0">
    <oddFooter>&amp;R&amp;20&amp;P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4"/>
  <sheetViews>
    <sheetView showGridLines="0" view="pageBreakPreview" zoomScale="55" zoomScaleNormal="70" zoomScaleSheetLayoutView="55" zoomScalePageLayoutView="0" workbookViewId="0" topLeftCell="A1">
      <pane xSplit="2" ySplit="7" topLeftCell="C50" activePane="bottomRight" state="frozen"/>
      <selection pane="topLeft" activeCell="G1" sqref="G1:S65536"/>
      <selection pane="topRight" activeCell="G1" sqref="G1:S65536"/>
      <selection pane="bottomLeft" activeCell="G1" sqref="G1:S65536"/>
      <selection pane="bottomRight" activeCell="G1" sqref="G1:S65536"/>
    </sheetView>
  </sheetViews>
  <sheetFormatPr defaultColWidth="9.00390625" defaultRowHeight="12.75"/>
  <cols>
    <col min="1" max="1" width="9.125" style="2" customWidth="1"/>
    <col min="2" max="2" width="125.875" style="2" customWidth="1"/>
    <col min="3" max="3" width="25.75390625" style="2" customWidth="1"/>
    <col min="4" max="4" width="26.875" style="2" customWidth="1"/>
    <col min="5" max="5" width="25.125" style="2" customWidth="1"/>
    <col min="6" max="6" width="20.75390625" style="2" customWidth="1"/>
    <col min="7" max="16384" width="9.125" style="2" customWidth="1"/>
  </cols>
  <sheetData>
    <row r="1" spans="1:6" s="48" customFormat="1" ht="38.25" customHeight="1">
      <c r="A1" s="152" t="str">
        <f>NFZ!A1</f>
        <v>ZMIANA PLANU NARODOWEGO FUNDUSZU ZDROWIA NA 2014 R. Z DNIA 30 GRUDNIA 2014 R.</v>
      </c>
      <c r="B1" s="152"/>
      <c r="C1" s="152"/>
      <c r="D1" s="152"/>
      <c r="E1" s="152"/>
      <c r="F1" s="152"/>
    </row>
    <row r="2" spans="1:3" s="50" customFormat="1" ht="33" customHeight="1">
      <c r="A2" s="88" t="s">
        <v>69</v>
      </c>
      <c r="B2" s="88"/>
      <c r="C2" s="94"/>
    </row>
    <row r="3" spans="1:6" ht="33" customHeight="1">
      <c r="A3" s="8"/>
      <c r="B3" s="9"/>
      <c r="C3" s="87"/>
      <c r="D3" s="87"/>
      <c r="E3" s="87" t="s">
        <v>159</v>
      </c>
      <c r="F3" s="10"/>
    </row>
    <row r="4" spans="1:6" s="6" customFormat="1" ht="45" customHeight="1">
      <c r="A4" s="149" t="s">
        <v>132</v>
      </c>
      <c r="B4" s="149" t="s">
        <v>55</v>
      </c>
      <c r="C4" s="150" t="s">
        <v>236</v>
      </c>
      <c r="D4" s="150" t="s">
        <v>191</v>
      </c>
      <c r="E4" s="153" t="s">
        <v>192</v>
      </c>
      <c r="F4" s="153" t="s">
        <v>193</v>
      </c>
    </row>
    <row r="5" spans="1:6" s="6" customFormat="1" ht="45" customHeight="1">
      <c r="A5" s="149"/>
      <c r="B5" s="149"/>
      <c r="C5" s="151"/>
      <c r="D5" s="151"/>
      <c r="E5" s="153"/>
      <c r="F5" s="153"/>
    </row>
    <row r="6" spans="1:6" s="4" customFormat="1" ht="14.25">
      <c r="A6" s="47">
        <v>1</v>
      </c>
      <c r="B6" s="52">
        <v>2</v>
      </c>
      <c r="C6" s="47">
        <v>3</v>
      </c>
      <c r="D6" s="52">
        <v>4</v>
      </c>
      <c r="E6" s="47">
        <v>5</v>
      </c>
      <c r="F6" s="52">
        <v>6</v>
      </c>
    </row>
    <row r="7" spans="1:6" s="3" customFormat="1" ht="30" customHeight="1">
      <c r="A7" s="23" t="s">
        <v>0</v>
      </c>
      <c r="B7" s="39" t="s">
        <v>248</v>
      </c>
      <c r="C7" s="16">
        <f>C8+C9+C10+C15+C16+C17+C18+C19+C20+C21+C22+C23+C24+C25+C29+C30+C32+C33</f>
        <v>1609186</v>
      </c>
      <c r="D7" s="16">
        <f>D8+D9+D10+D15+D16+D17+D18+D19+D20+D21+D22+D23+D24+D25+D29+D30+D32+D33</f>
        <v>1610833</v>
      </c>
      <c r="E7" s="13">
        <f>IF(C7=D7,"-",D7-C7)</f>
        <v>1647</v>
      </c>
      <c r="F7" s="95">
        <f>IF(C7=0,"-",D7/C7)</f>
        <v>1.001</v>
      </c>
    </row>
    <row r="8" spans="1:7" ht="33" customHeight="1">
      <c r="A8" s="29" t="s">
        <v>1</v>
      </c>
      <c r="B8" s="35" t="s">
        <v>133</v>
      </c>
      <c r="C8" s="81">
        <v>188231</v>
      </c>
      <c r="D8" s="25">
        <f>C8</f>
        <v>188231</v>
      </c>
      <c r="E8" s="96" t="str">
        <f aca="true" t="shared" si="0" ref="E8:E64">IF(C8=D8,"-",D8-C8)</f>
        <v>-</v>
      </c>
      <c r="F8" s="97">
        <f aca="true" t="shared" si="1" ref="F8:F64">IF(C8=0,"-",D8/C8)</f>
        <v>1</v>
      </c>
      <c r="G8" s="86"/>
    </row>
    <row r="9" spans="1:7" ht="33" customHeight="1">
      <c r="A9" s="29" t="s">
        <v>2</v>
      </c>
      <c r="B9" s="35" t="s">
        <v>134</v>
      </c>
      <c r="C9" s="81">
        <v>134816</v>
      </c>
      <c r="D9" s="25">
        <f aca="true" t="shared" si="2" ref="D9:D34">C9</f>
        <v>134816</v>
      </c>
      <c r="E9" s="96" t="str">
        <f t="shared" si="0"/>
        <v>-</v>
      </c>
      <c r="F9" s="97">
        <f t="shared" si="1"/>
        <v>1</v>
      </c>
      <c r="G9" s="86"/>
    </row>
    <row r="10" spans="1:7" ht="33" customHeight="1">
      <c r="A10" s="29" t="s">
        <v>3</v>
      </c>
      <c r="B10" s="35" t="s">
        <v>131</v>
      </c>
      <c r="C10" s="81">
        <v>789473</v>
      </c>
      <c r="D10" s="25">
        <f>C10+1000</f>
        <v>790473</v>
      </c>
      <c r="E10" s="96">
        <f t="shared" si="0"/>
        <v>1000</v>
      </c>
      <c r="F10" s="97">
        <f t="shared" si="1"/>
        <v>1.0013</v>
      </c>
      <c r="G10" s="86"/>
    </row>
    <row r="11" spans="1:7" ht="31.5" customHeight="1">
      <c r="A11" s="28" t="s">
        <v>57</v>
      </c>
      <c r="B11" s="34" t="s">
        <v>160</v>
      </c>
      <c r="C11" s="81">
        <v>59413</v>
      </c>
      <c r="D11" s="25">
        <f t="shared" si="2"/>
        <v>59413</v>
      </c>
      <c r="E11" s="96" t="str">
        <f t="shared" si="0"/>
        <v>-</v>
      </c>
      <c r="F11" s="97">
        <f t="shared" si="1"/>
        <v>1</v>
      </c>
      <c r="G11" s="86"/>
    </row>
    <row r="12" spans="1:7" ht="31.5" customHeight="1">
      <c r="A12" s="28" t="s">
        <v>161</v>
      </c>
      <c r="B12" s="34" t="s">
        <v>164</v>
      </c>
      <c r="C12" s="81">
        <v>54509</v>
      </c>
      <c r="D12" s="25">
        <f t="shared" si="2"/>
        <v>54509</v>
      </c>
      <c r="E12" s="96" t="str">
        <f t="shared" si="0"/>
        <v>-</v>
      </c>
      <c r="F12" s="97">
        <f t="shared" si="1"/>
        <v>1</v>
      </c>
      <c r="G12" s="86"/>
    </row>
    <row r="13" spans="1:7" ht="31.5" customHeight="1">
      <c r="A13" s="28" t="s">
        <v>162</v>
      </c>
      <c r="B13" s="34" t="s">
        <v>165</v>
      </c>
      <c r="C13" s="81">
        <v>30283</v>
      </c>
      <c r="D13" s="25">
        <f t="shared" si="2"/>
        <v>30283</v>
      </c>
      <c r="E13" s="96" t="str">
        <f t="shared" si="0"/>
        <v>-</v>
      </c>
      <c r="F13" s="97">
        <f t="shared" si="1"/>
        <v>1</v>
      </c>
      <c r="G13" s="86"/>
    </row>
    <row r="14" spans="1:7" ht="31.5" customHeight="1">
      <c r="A14" s="28" t="s">
        <v>163</v>
      </c>
      <c r="B14" s="34" t="s">
        <v>166</v>
      </c>
      <c r="C14" s="81">
        <v>10849</v>
      </c>
      <c r="D14" s="25">
        <f t="shared" si="2"/>
        <v>10849</v>
      </c>
      <c r="E14" s="96" t="str">
        <f t="shared" si="0"/>
        <v>-</v>
      </c>
      <c r="F14" s="97">
        <f t="shared" si="1"/>
        <v>1</v>
      </c>
      <c r="G14" s="86"/>
    </row>
    <row r="15" spans="1:7" ht="33" customHeight="1">
      <c r="A15" s="29" t="s">
        <v>4</v>
      </c>
      <c r="B15" s="35" t="s">
        <v>139</v>
      </c>
      <c r="C15" s="81">
        <v>61899</v>
      </c>
      <c r="D15" s="25">
        <f>C15+647</f>
        <v>62546</v>
      </c>
      <c r="E15" s="96">
        <f t="shared" si="0"/>
        <v>647</v>
      </c>
      <c r="F15" s="97">
        <f t="shared" si="1"/>
        <v>1.0105</v>
      </c>
      <c r="G15" s="86"/>
    </row>
    <row r="16" spans="1:7" ht="33" customHeight="1">
      <c r="A16" s="29" t="s">
        <v>5</v>
      </c>
      <c r="B16" s="35" t="s">
        <v>135</v>
      </c>
      <c r="C16" s="81">
        <v>54180</v>
      </c>
      <c r="D16" s="25">
        <f t="shared" si="2"/>
        <v>54180</v>
      </c>
      <c r="E16" s="96" t="str">
        <f t="shared" si="0"/>
        <v>-</v>
      </c>
      <c r="F16" s="97">
        <f t="shared" si="1"/>
        <v>1</v>
      </c>
      <c r="G16" s="86"/>
    </row>
    <row r="17" spans="1:7" ht="33" customHeight="1">
      <c r="A17" s="29" t="s">
        <v>6</v>
      </c>
      <c r="B17" s="35" t="s">
        <v>141</v>
      </c>
      <c r="C17" s="81">
        <v>44165</v>
      </c>
      <c r="D17" s="25">
        <f t="shared" si="2"/>
        <v>44165</v>
      </c>
      <c r="E17" s="96" t="str">
        <f t="shared" si="0"/>
        <v>-</v>
      </c>
      <c r="F17" s="97">
        <f t="shared" si="1"/>
        <v>1</v>
      </c>
      <c r="G17" s="86"/>
    </row>
    <row r="18" spans="1:7" ht="33" customHeight="1">
      <c r="A18" s="29" t="s">
        <v>7</v>
      </c>
      <c r="B18" s="35" t="s">
        <v>140</v>
      </c>
      <c r="C18" s="81">
        <v>11001</v>
      </c>
      <c r="D18" s="25">
        <f t="shared" si="2"/>
        <v>11001</v>
      </c>
      <c r="E18" s="96" t="str">
        <f t="shared" si="0"/>
        <v>-</v>
      </c>
      <c r="F18" s="97">
        <f t="shared" si="1"/>
        <v>1</v>
      </c>
      <c r="G18" s="86"/>
    </row>
    <row r="19" spans="1:7" ht="33" customHeight="1">
      <c r="A19" s="29" t="s">
        <v>8</v>
      </c>
      <c r="B19" s="35" t="s">
        <v>136</v>
      </c>
      <c r="C19" s="81">
        <v>46514</v>
      </c>
      <c r="D19" s="25">
        <f t="shared" si="2"/>
        <v>46514</v>
      </c>
      <c r="E19" s="96" t="str">
        <f t="shared" si="0"/>
        <v>-</v>
      </c>
      <c r="F19" s="97">
        <f t="shared" si="1"/>
        <v>1</v>
      </c>
      <c r="G19" s="86"/>
    </row>
    <row r="20" spans="1:7" ht="33" customHeight="1">
      <c r="A20" s="29" t="s">
        <v>9</v>
      </c>
      <c r="B20" s="35" t="s">
        <v>137</v>
      </c>
      <c r="C20" s="81">
        <v>12900</v>
      </c>
      <c r="D20" s="25">
        <f t="shared" si="2"/>
        <v>12900</v>
      </c>
      <c r="E20" s="96" t="str">
        <f t="shared" si="0"/>
        <v>-</v>
      </c>
      <c r="F20" s="97">
        <f t="shared" si="1"/>
        <v>1</v>
      </c>
      <c r="G20" s="86"/>
    </row>
    <row r="21" spans="1:7" ht="33" customHeight="1">
      <c r="A21" s="29" t="s">
        <v>10</v>
      </c>
      <c r="B21" s="35" t="s">
        <v>142</v>
      </c>
      <c r="C21" s="81">
        <v>1350</v>
      </c>
      <c r="D21" s="25">
        <f t="shared" si="2"/>
        <v>1350</v>
      </c>
      <c r="E21" s="96" t="str">
        <f t="shared" si="0"/>
        <v>-</v>
      </c>
      <c r="F21" s="97">
        <f t="shared" si="1"/>
        <v>1</v>
      </c>
      <c r="G21" s="86"/>
    </row>
    <row r="22" spans="1:7" ht="46.5" customHeight="1">
      <c r="A22" s="29" t="s">
        <v>11</v>
      </c>
      <c r="B22" s="35" t="s">
        <v>138</v>
      </c>
      <c r="C22" s="81">
        <v>4477</v>
      </c>
      <c r="D22" s="25">
        <f t="shared" si="2"/>
        <v>4477</v>
      </c>
      <c r="E22" s="96" t="str">
        <f t="shared" si="0"/>
        <v>-</v>
      </c>
      <c r="F22" s="97">
        <f t="shared" si="1"/>
        <v>1</v>
      </c>
      <c r="G22" s="86"/>
    </row>
    <row r="23" spans="1:7" ht="33" customHeight="1">
      <c r="A23" s="29" t="s">
        <v>12</v>
      </c>
      <c r="B23" s="35" t="s">
        <v>185</v>
      </c>
      <c r="C23" s="81">
        <v>39554</v>
      </c>
      <c r="D23" s="25">
        <f t="shared" si="2"/>
        <v>39554</v>
      </c>
      <c r="E23" s="96" t="str">
        <f t="shared" si="0"/>
        <v>-</v>
      </c>
      <c r="F23" s="97">
        <f t="shared" si="1"/>
        <v>1</v>
      </c>
      <c r="G23" s="86"/>
    </row>
    <row r="24" spans="1:7" ht="33" customHeight="1">
      <c r="A24" s="29" t="s">
        <v>13</v>
      </c>
      <c r="B24" s="35" t="s">
        <v>167</v>
      </c>
      <c r="C24" s="81">
        <v>23000</v>
      </c>
      <c r="D24" s="25">
        <f t="shared" si="2"/>
        <v>23000</v>
      </c>
      <c r="E24" s="96" t="str">
        <f t="shared" si="0"/>
        <v>-</v>
      </c>
      <c r="F24" s="97">
        <f t="shared" si="1"/>
        <v>1</v>
      </c>
      <c r="G24" s="86"/>
    </row>
    <row r="25" spans="1:7" ht="33" customHeight="1">
      <c r="A25" s="30" t="s">
        <v>14</v>
      </c>
      <c r="B25" s="78" t="s">
        <v>249</v>
      </c>
      <c r="C25" s="25">
        <f>SUM(C26:C28)</f>
        <v>193042</v>
      </c>
      <c r="D25" s="25">
        <f>SUM(D26:D28)</f>
        <v>193042</v>
      </c>
      <c r="E25" s="96" t="str">
        <f t="shared" si="0"/>
        <v>-</v>
      </c>
      <c r="F25" s="97">
        <f t="shared" si="1"/>
        <v>1</v>
      </c>
      <c r="G25" s="86"/>
    </row>
    <row r="26" spans="1:7" ht="31.5">
      <c r="A26" s="28" t="s">
        <v>143</v>
      </c>
      <c r="B26" s="34" t="s">
        <v>170</v>
      </c>
      <c r="C26" s="81">
        <v>192272</v>
      </c>
      <c r="D26" s="25">
        <f t="shared" si="2"/>
        <v>192272</v>
      </c>
      <c r="E26" s="96" t="str">
        <f t="shared" si="0"/>
        <v>-</v>
      </c>
      <c r="F26" s="97">
        <f t="shared" si="1"/>
        <v>1</v>
      </c>
      <c r="G26" s="86"/>
    </row>
    <row r="27" spans="1:7" ht="31.5" customHeight="1">
      <c r="A27" s="28" t="s">
        <v>169</v>
      </c>
      <c r="B27" s="34" t="s">
        <v>172</v>
      </c>
      <c r="C27" s="81">
        <v>650</v>
      </c>
      <c r="D27" s="25">
        <f t="shared" si="2"/>
        <v>650</v>
      </c>
      <c r="E27" s="96" t="str">
        <f t="shared" si="0"/>
        <v>-</v>
      </c>
      <c r="F27" s="97">
        <f t="shared" si="1"/>
        <v>1</v>
      </c>
      <c r="G27" s="86"/>
    </row>
    <row r="28" spans="1:7" ht="31.5" customHeight="1">
      <c r="A28" s="28" t="s">
        <v>173</v>
      </c>
      <c r="B28" s="34" t="s">
        <v>171</v>
      </c>
      <c r="C28" s="81">
        <v>120</v>
      </c>
      <c r="D28" s="25">
        <f t="shared" si="2"/>
        <v>120</v>
      </c>
      <c r="E28" s="96" t="str">
        <f t="shared" si="0"/>
        <v>-</v>
      </c>
      <c r="F28" s="97">
        <f t="shared" si="1"/>
        <v>1</v>
      </c>
      <c r="G28" s="86"/>
    </row>
    <row r="29" spans="1:7" ht="33" customHeight="1">
      <c r="A29" s="31" t="s">
        <v>15</v>
      </c>
      <c r="B29" s="36" t="s">
        <v>122</v>
      </c>
      <c r="C29" s="81">
        <v>0</v>
      </c>
      <c r="D29" s="25">
        <f t="shared" si="2"/>
        <v>0</v>
      </c>
      <c r="E29" s="96" t="str">
        <f t="shared" si="0"/>
        <v>-</v>
      </c>
      <c r="F29" s="97" t="str">
        <f t="shared" si="1"/>
        <v>-</v>
      </c>
      <c r="G29" s="86"/>
    </row>
    <row r="30" spans="1:7" ht="33" customHeight="1">
      <c r="A30" s="31" t="s">
        <v>119</v>
      </c>
      <c r="B30" s="37" t="s">
        <v>174</v>
      </c>
      <c r="C30" s="81">
        <v>0</v>
      </c>
      <c r="D30" s="25">
        <f t="shared" si="2"/>
        <v>0</v>
      </c>
      <c r="E30" s="96" t="str">
        <f t="shared" si="0"/>
        <v>-</v>
      </c>
      <c r="F30" s="97" t="str">
        <f t="shared" si="1"/>
        <v>-</v>
      </c>
      <c r="G30" s="86"/>
    </row>
    <row r="31" spans="1:7" ht="31.5" customHeight="1">
      <c r="A31" s="28" t="s">
        <v>175</v>
      </c>
      <c r="B31" s="34" t="s">
        <v>187</v>
      </c>
      <c r="C31" s="81">
        <v>0</v>
      </c>
      <c r="D31" s="25">
        <f t="shared" si="2"/>
        <v>0</v>
      </c>
      <c r="E31" s="96" t="str">
        <f t="shared" si="0"/>
        <v>-</v>
      </c>
      <c r="F31" s="97" t="str">
        <f t="shared" si="1"/>
        <v>-</v>
      </c>
      <c r="G31" s="86"/>
    </row>
    <row r="32" spans="1:7" ht="33" customHeight="1">
      <c r="A32" s="31" t="s">
        <v>120</v>
      </c>
      <c r="B32" s="37" t="s">
        <v>123</v>
      </c>
      <c r="C32" s="81">
        <v>0</v>
      </c>
      <c r="D32" s="25">
        <f t="shared" si="2"/>
        <v>0</v>
      </c>
      <c r="E32" s="96" t="str">
        <f t="shared" si="0"/>
        <v>-</v>
      </c>
      <c r="F32" s="97" t="str">
        <f t="shared" si="1"/>
        <v>-</v>
      </c>
      <c r="G32" s="86"/>
    </row>
    <row r="33" spans="1:7" ht="33" customHeight="1">
      <c r="A33" s="31" t="s">
        <v>121</v>
      </c>
      <c r="B33" s="37" t="s">
        <v>186</v>
      </c>
      <c r="C33" s="81">
        <v>4584</v>
      </c>
      <c r="D33" s="25">
        <f t="shared" si="2"/>
        <v>4584</v>
      </c>
      <c r="E33" s="96" t="str">
        <f t="shared" si="0"/>
        <v>-</v>
      </c>
      <c r="F33" s="97">
        <f t="shared" si="1"/>
        <v>1</v>
      </c>
      <c r="G33" s="86"/>
    </row>
    <row r="34" spans="1:7" ht="51.75" customHeight="1">
      <c r="A34" s="31" t="s">
        <v>246</v>
      </c>
      <c r="B34" s="37" t="s">
        <v>247</v>
      </c>
      <c r="C34" s="81">
        <v>0</v>
      </c>
      <c r="D34" s="25">
        <f t="shared" si="2"/>
        <v>0</v>
      </c>
      <c r="E34" s="96" t="str">
        <f>IF(C34=D34,"-",D34-C34)</f>
        <v>-</v>
      </c>
      <c r="F34" s="97" t="str">
        <f>IF(C34=0,"-",D34/C34)</f>
        <v>-</v>
      </c>
      <c r="G34" s="86"/>
    </row>
    <row r="35" spans="1:6" s="5" customFormat="1" ht="31.5" customHeight="1">
      <c r="A35" s="32" t="s">
        <v>59</v>
      </c>
      <c r="B35" s="38" t="s">
        <v>60</v>
      </c>
      <c r="C35" s="84">
        <v>0</v>
      </c>
      <c r="D35" s="92">
        <f>C35</f>
        <v>0</v>
      </c>
      <c r="E35" s="15" t="str">
        <f t="shared" si="0"/>
        <v>-</v>
      </c>
      <c r="F35" s="98" t="str">
        <f t="shared" si="1"/>
        <v>-</v>
      </c>
    </row>
    <row r="36" spans="1:6" s="5" customFormat="1" ht="31.5" customHeight="1">
      <c r="A36" s="32" t="s">
        <v>58</v>
      </c>
      <c r="B36" s="38" t="s">
        <v>61</v>
      </c>
      <c r="C36" s="84">
        <v>51978</v>
      </c>
      <c r="D36" s="93">
        <f>C36</f>
        <v>51978</v>
      </c>
      <c r="E36" s="15" t="str">
        <f t="shared" si="0"/>
        <v>-</v>
      </c>
      <c r="F36" s="98">
        <f t="shared" si="1"/>
        <v>1</v>
      </c>
    </row>
    <row r="37" spans="1:6" s="5" customFormat="1" ht="42.75" customHeight="1">
      <c r="A37" s="32" t="s">
        <v>176</v>
      </c>
      <c r="B37" s="38" t="s">
        <v>177</v>
      </c>
      <c r="C37" s="84">
        <v>258400</v>
      </c>
      <c r="D37" s="84">
        <f>D12+D14+D25+D31</f>
        <v>258400</v>
      </c>
      <c r="E37" s="15" t="str">
        <f t="shared" si="0"/>
        <v>-</v>
      </c>
      <c r="F37" s="98">
        <f t="shared" si="1"/>
        <v>1</v>
      </c>
    </row>
    <row r="38" spans="1:6" s="3" customFormat="1" ht="30" customHeight="1">
      <c r="A38" s="26" t="s">
        <v>16</v>
      </c>
      <c r="B38" s="46" t="s">
        <v>250</v>
      </c>
      <c r="C38" s="24">
        <f>C39+C40+C41+C49+C51+C57+C58+C56</f>
        <v>17445</v>
      </c>
      <c r="D38" s="24">
        <f>D39+D40+D41+D49+D51+D57+D58+D56</f>
        <v>17445</v>
      </c>
      <c r="E38" s="13" t="str">
        <f t="shared" si="0"/>
        <v>-</v>
      </c>
      <c r="F38" s="99">
        <f t="shared" si="1"/>
        <v>1</v>
      </c>
    </row>
    <row r="39" spans="1:6" ht="28.5" customHeight="1">
      <c r="A39" s="31" t="s">
        <v>17</v>
      </c>
      <c r="B39" s="40" t="s">
        <v>18</v>
      </c>
      <c r="C39" s="81">
        <v>928</v>
      </c>
      <c r="D39" s="85">
        <f>C39</f>
        <v>928</v>
      </c>
      <c r="E39" s="96" t="str">
        <f t="shared" si="0"/>
        <v>-</v>
      </c>
      <c r="F39" s="97">
        <f t="shared" si="1"/>
        <v>1</v>
      </c>
    </row>
    <row r="40" spans="1:6" ht="28.5" customHeight="1">
      <c r="A40" s="31" t="s">
        <v>19</v>
      </c>
      <c r="B40" s="40" t="s">
        <v>20</v>
      </c>
      <c r="C40" s="81">
        <v>2122</v>
      </c>
      <c r="D40" s="85">
        <f>C40</f>
        <v>2122</v>
      </c>
      <c r="E40" s="96" t="str">
        <f t="shared" si="0"/>
        <v>-</v>
      </c>
      <c r="F40" s="97">
        <f t="shared" si="1"/>
        <v>1</v>
      </c>
    </row>
    <row r="41" spans="1:6" ht="28.5" customHeight="1">
      <c r="A41" s="31" t="s">
        <v>21</v>
      </c>
      <c r="B41" s="41" t="s">
        <v>251</v>
      </c>
      <c r="C41" s="85">
        <f>C42+C44+C45+C46+C47+C48</f>
        <v>164</v>
      </c>
      <c r="D41" s="85">
        <f>D42+D44+D45+D46+D47+D48</f>
        <v>164</v>
      </c>
      <c r="E41" s="96" t="str">
        <f t="shared" si="0"/>
        <v>-</v>
      </c>
      <c r="F41" s="97">
        <f t="shared" si="1"/>
        <v>1</v>
      </c>
    </row>
    <row r="42" spans="1:6" ht="28.5" customHeight="1">
      <c r="A42" s="42" t="s">
        <v>39</v>
      </c>
      <c r="B42" s="43" t="s">
        <v>32</v>
      </c>
      <c r="C42" s="81">
        <v>0</v>
      </c>
      <c r="D42" s="85">
        <f>C42</f>
        <v>0</v>
      </c>
      <c r="E42" s="96" t="str">
        <f t="shared" si="0"/>
        <v>-</v>
      </c>
      <c r="F42" s="97" t="str">
        <f t="shared" si="1"/>
        <v>-</v>
      </c>
    </row>
    <row r="43" spans="1:6" ht="28.5" customHeight="1">
      <c r="A43" s="42" t="s">
        <v>40</v>
      </c>
      <c r="B43" s="44" t="s">
        <v>33</v>
      </c>
      <c r="C43" s="81">
        <v>0</v>
      </c>
      <c r="D43" s="85">
        <f aca="true" t="shared" si="3" ref="D43:D55">C43</f>
        <v>0</v>
      </c>
      <c r="E43" s="96" t="str">
        <f t="shared" si="0"/>
        <v>-</v>
      </c>
      <c r="F43" s="97" t="str">
        <f t="shared" si="1"/>
        <v>-</v>
      </c>
    </row>
    <row r="44" spans="1:6" ht="28.5" customHeight="1">
      <c r="A44" s="42" t="s">
        <v>41</v>
      </c>
      <c r="B44" s="43" t="s">
        <v>34</v>
      </c>
      <c r="C44" s="81">
        <v>8</v>
      </c>
      <c r="D44" s="85">
        <f t="shared" si="3"/>
        <v>8</v>
      </c>
      <c r="E44" s="96" t="str">
        <f t="shared" si="0"/>
        <v>-</v>
      </c>
      <c r="F44" s="97">
        <f t="shared" si="1"/>
        <v>1</v>
      </c>
    </row>
    <row r="45" spans="1:6" ht="28.5" customHeight="1">
      <c r="A45" s="42" t="s">
        <v>42</v>
      </c>
      <c r="B45" s="43" t="s">
        <v>35</v>
      </c>
      <c r="C45" s="81">
        <v>0</v>
      </c>
      <c r="D45" s="85">
        <f t="shared" si="3"/>
        <v>0</v>
      </c>
      <c r="E45" s="96" t="str">
        <f t="shared" si="0"/>
        <v>-</v>
      </c>
      <c r="F45" s="97" t="str">
        <f t="shared" si="1"/>
        <v>-</v>
      </c>
    </row>
    <row r="46" spans="1:6" ht="28.5" customHeight="1">
      <c r="A46" s="42" t="s">
        <v>43</v>
      </c>
      <c r="B46" s="43" t="s">
        <v>36</v>
      </c>
      <c r="C46" s="81">
        <v>0</v>
      </c>
      <c r="D46" s="85">
        <f t="shared" si="3"/>
        <v>0</v>
      </c>
      <c r="E46" s="96" t="str">
        <f t="shared" si="0"/>
        <v>-</v>
      </c>
      <c r="F46" s="97" t="str">
        <f t="shared" si="1"/>
        <v>-</v>
      </c>
    </row>
    <row r="47" spans="1:6" ht="28.5" customHeight="1">
      <c r="A47" s="42" t="s">
        <v>44</v>
      </c>
      <c r="B47" s="43" t="s">
        <v>37</v>
      </c>
      <c r="C47" s="81">
        <v>150</v>
      </c>
      <c r="D47" s="85">
        <f t="shared" si="3"/>
        <v>150</v>
      </c>
      <c r="E47" s="96" t="str">
        <f t="shared" si="0"/>
        <v>-</v>
      </c>
      <c r="F47" s="97">
        <f t="shared" si="1"/>
        <v>1</v>
      </c>
    </row>
    <row r="48" spans="1:6" ht="28.5" customHeight="1">
      <c r="A48" s="42" t="s">
        <v>45</v>
      </c>
      <c r="B48" s="43" t="s">
        <v>38</v>
      </c>
      <c r="C48" s="81">
        <v>6</v>
      </c>
      <c r="D48" s="85">
        <f>C48</f>
        <v>6</v>
      </c>
      <c r="E48" s="96" t="str">
        <f t="shared" si="0"/>
        <v>-</v>
      </c>
      <c r="F48" s="97">
        <f t="shared" si="1"/>
        <v>1</v>
      </c>
    </row>
    <row r="49" spans="1:6" ht="28.5" customHeight="1">
      <c r="A49" s="31" t="s">
        <v>22</v>
      </c>
      <c r="B49" s="40" t="s">
        <v>178</v>
      </c>
      <c r="C49" s="81">
        <v>8437</v>
      </c>
      <c r="D49" s="85">
        <f>C49</f>
        <v>8437</v>
      </c>
      <c r="E49" s="96" t="str">
        <f t="shared" si="0"/>
        <v>-</v>
      </c>
      <c r="F49" s="97">
        <f t="shared" si="1"/>
        <v>1</v>
      </c>
    </row>
    <row r="50" spans="1:6" ht="28.5" customHeight="1">
      <c r="A50" s="42" t="s">
        <v>179</v>
      </c>
      <c r="B50" s="43" t="s">
        <v>180</v>
      </c>
      <c r="C50" s="81">
        <v>20</v>
      </c>
      <c r="D50" s="85">
        <f>C50</f>
        <v>20</v>
      </c>
      <c r="E50" s="96" t="str">
        <f t="shared" si="0"/>
        <v>-</v>
      </c>
      <c r="F50" s="97">
        <f t="shared" si="1"/>
        <v>1</v>
      </c>
    </row>
    <row r="51" spans="1:6" ht="28.5" customHeight="1">
      <c r="A51" s="31" t="s">
        <v>23</v>
      </c>
      <c r="B51" s="41" t="s">
        <v>252</v>
      </c>
      <c r="C51" s="77">
        <f>C52+C53+C54+C55</f>
        <v>1893</v>
      </c>
      <c r="D51" s="77">
        <f>D52+D53+D54+D55</f>
        <v>1893</v>
      </c>
      <c r="E51" s="96" t="str">
        <f t="shared" si="0"/>
        <v>-</v>
      </c>
      <c r="F51" s="97">
        <f t="shared" si="1"/>
        <v>1</v>
      </c>
    </row>
    <row r="52" spans="1:6" ht="28.5" customHeight="1">
      <c r="A52" s="42" t="s">
        <v>50</v>
      </c>
      <c r="B52" s="43" t="s">
        <v>46</v>
      </c>
      <c r="C52" s="81">
        <v>1450</v>
      </c>
      <c r="D52" s="85">
        <f t="shared" si="3"/>
        <v>1450</v>
      </c>
      <c r="E52" s="96" t="str">
        <f t="shared" si="0"/>
        <v>-</v>
      </c>
      <c r="F52" s="97">
        <f t="shared" si="1"/>
        <v>1</v>
      </c>
    </row>
    <row r="53" spans="1:6" ht="28.5" customHeight="1">
      <c r="A53" s="42" t="s">
        <v>51</v>
      </c>
      <c r="B53" s="43" t="s">
        <v>47</v>
      </c>
      <c r="C53" s="81">
        <v>207</v>
      </c>
      <c r="D53" s="85">
        <f t="shared" si="3"/>
        <v>207</v>
      </c>
      <c r="E53" s="96" t="str">
        <f t="shared" si="0"/>
        <v>-</v>
      </c>
      <c r="F53" s="97">
        <f t="shared" si="1"/>
        <v>1</v>
      </c>
    </row>
    <row r="54" spans="1:6" ht="28.5" customHeight="1">
      <c r="A54" s="42" t="s">
        <v>52</v>
      </c>
      <c r="B54" s="43" t="s">
        <v>48</v>
      </c>
      <c r="C54" s="81">
        <v>0</v>
      </c>
      <c r="D54" s="85">
        <f t="shared" si="3"/>
        <v>0</v>
      </c>
      <c r="E54" s="96" t="str">
        <f t="shared" si="0"/>
        <v>-</v>
      </c>
      <c r="F54" s="97" t="str">
        <f t="shared" si="1"/>
        <v>-</v>
      </c>
    </row>
    <row r="55" spans="1:6" ht="28.5" customHeight="1">
      <c r="A55" s="42" t="s">
        <v>53</v>
      </c>
      <c r="B55" s="43" t="s">
        <v>49</v>
      </c>
      <c r="C55" s="81">
        <v>236</v>
      </c>
      <c r="D55" s="85">
        <f t="shared" si="3"/>
        <v>236</v>
      </c>
      <c r="E55" s="96" t="str">
        <f t="shared" si="0"/>
        <v>-</v>
      </c>
      <c r="F55" s="97">
        <f t="shared" si="1"/>
        <v>1</v>
      </c>
    </row>
    <row r="56" spans="1:6" ht="28.5" customHeight="1">
      <c r="A56" s="31" t="s">
        <v>24</v>
      </c>
      <c r="B56" s="40" t="s">
        <v>25</v>
      </c>
      <c r="C56" s="81">
        <v>0</v>
      </c>
      <c r="D56" s="85">
        <f>C56</f>
        <v>0</v>
      </c>
      <c r="E56" s="96" t="str">
        <f t="shared" si="0"/>
        <v>-</v>
      </c>
      <c r="F56" s="97" t="str">
        <f t="shared" si="1"/>
        <v>-</v>
      </c>
    </row>
    <row r="57" spans="1:6" ht="28.5" customHeight="1">
      <c r="A57" s="31" t="s">
        <v>26</v>
      </c>
      <c r="B57" s="40" t="s">
        <v>181</v>
      </c>
      <c r="C57" s="81">
        <v>3660</v>
      </c>
      <c r="D57" s="85">
        <f>C57</f>
        <v>3660</v>
      </c>
      <c r="E57" s="96" t="str">
        <f t="shared" si="0"/>
        <v>-</v>
      </c>
      <c r="F57" s="100">
        <f t="shared" si="1"/>
        <v>1</v>
      </c>
    </row>
    <row r="58" spans="1:6" ht="28.5" customHeight="1">
      <c r="A58" s="31" t="s">
        <v>27</v>
      </c>
      <c r="B58" s="40" t="s">
        <v>28</v>
      </c>
      <c r="C58" s="81">
        <v>241</v>
      </c>
      <c r="D58" s="85">
        <f>C58</f>
        <v>241</v>
      </c>
      <c r="E58" s="96" t="str">
        <f t="shared" si="0"/>
        <v>-</v>
      </c>
      <c r="F58" s="97">
        <f t="shared" si="1"/>
        <v>1</v>
      </c>
    </row>
    <row r="59" spans="1:6" s="3" customFormat="1" ht="30" customHeight="1">
      <c r="A59" s="33" t="s">
        <v>29</v>
      </c>
      <c r="B59" s="45" t="s">
        <v>182</v>
      </c>
      <c r="C59" s="27">
        <f>C60+C61+C62+C63</f>
        <v>5250</v>
      </c>
      <c r="D59" s="27">
        <f>D60+D61+D62+D63</f>
        <v>1263</v>
      </c>
      <c r="E59" s="13">
        <f t="shared" si="0"/>
        <v>-3987</v>
      </c>
      <c r="F59" s="101">
        <f t="shared" si="1"/>
        <v>0.2406</v>
      </c>
    </row>
    <row r="60" spans="1:6" ht="42" customHeight="1">
      <c r="A60" s="31" t="s">
        <v>102</v>
      </c>
      <c r="B60" s="40" t="s">
        <v>124</v>
      </c>
      <c r="C60" s="81">
        <v>10</v>
      </c>
      <c r="D60" s="85">
        <f>C60-10</f>
        <v>0</v>
      </c>
      <c r="E60" s="77">
        <f t="shared" si="0"/>
        <v>-10</v>
      </c>
      <c r="F60" s="97">
        <f t="shared" si="1"/>
        <v>0</v>
      </c>
    </row>
    <row r="61" spans="1:6" ht="31.5" customHeight="1">
      <c r="A61" s="31" t="s">
        <v>30</v>
      </c>
      <c r="B61" s="40" t="s">
        <v>56</v>
      </c>
      <c r="C61" s="81">
        <v>4890</v>
      </c>
      <c r="D61" s="85">
        <f>C61-3774</f>
        <v>1116</v>
      </c>
      <c r="E61" s="77">
        <f t="shared" si="0"/>
        <v>-3774</v>
      </c>
      <c r="F61" s="97">
        <f t="shared" si="1"/>
        <v>0.2282</v>
      </c>
    </row>
    <row r="62" spans="1:6" ht="31.5" customHeight="1">
      <c r="A62" s="31" t="s">
        <v>31</v>
      </c>
      <c r="B62" s="40" t="s">
        <v>104</v>
      </c>
      <c r="C62" s="81">
        <v>0</v>
      </c>
      <c r="D62" s="85">
        <f>C62</f>
        <v>0</v>
      </c>
      <c r="E62" s="77" t="str">
        <f t="shared" si="0"/>
        <v>-</v>
      </c>
      <c r="F62" s="97" t="str">
        <f t="shared" si="1"/>
        <v>-</v>
      </c>
    </row>
    <row r="63" spans="1:6" ht="31.5" customHeight="1">
      <c r="A63" s="31" t="s">
        <v>103</v>
      </c>
      <c r="B63" s="40" t="s">
        <v>105</v>
      </c>
      <c r="C63" s="81">
        <v>350</v>
      </c>
      <c r="D63" s="85">
        <f>C63-203</f>
        <v>147</v>
      </c>
      <c r="E63" s="77">
        <f t="shared" si="0"/>
        <v>-203</v>
      </c>
      <c r="F63" s="97">
        <f t="shared" si="1"/>
        <v>0.42</v>
      </c>
    </row>
    <row r="64" spans="1:6" ht="32.25" customHeight="1">
      <c r="A64" s="33" t="s">
        <v>110</v>
      </c>
      <c r="B64" s="45" t="s">
        <v>129</v>
      </c>
      <c r="C64" s="27">
        <v>1238</v>
      </c>
      <c r="D64" s="27">
        <f>C64-1065</f>
        <v>173</v>
      </c>
      <c r="E64" s="13">
        <f t="shared" si="0"/>
        <v>-1065</v>
      </c>
      <c r="F64" s="101">
        <f t="shared" si="1"/>
        <v>0.1397</v>
      </c>
    </row>
  </sheetData>
  <sheetProtection formatCells="0" formatColumns="0" formatRows="0" insertColumns="0" insertRows="0" insertHyperlinks="0" deleteColumns="0" deleteRows="0"/>
  <mergeCells count="7">
    <mergeCell ref="F4:F5"/>
    <mergeCell ref="A1:F1"/>
    <mergeCell ref="A4:A5"/>
    <mergeCell ref="B4:B5"/>
    <mergeCell ref="C4:C5"/>
    <mergeCell ref="D4:D5"/>
    <mergeCell ref="E4:E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8" r:id="rId1"/>
  <headerFooter alignWithMargins="0">
    <oddFooter>&amp;R&amp;20&amp;P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showGridLines="0" view="pageBreakPreview" zoomScale="55" zoomScaleNormal="70" zoomScaleSheetLayoutView="55" zoomScalePageLayoutView="0" workbookViewId="0" topLeftCell="A1">
      <pane xSplit="2" ySplit="7" topLeftCell="C56" activePane="bottomRight" state="frozen"/>
      <selection pane="topLeft" activeCell="G1" sqref="G1:S65536"/>
      <selection pane="topRight" activeCell="G1" sqref="G1:S65536"/>
      <selection pane="bottomLeft" activeCell="G1" sqref="G1:S65536"/>
      <selection pane="bottomRight" activeCell="G1" sqref="G1:S65536"/>
    </sheetView>
  </sheetViews>
  <sheetFormatPr defaultColWidth="9.00390625" defaultRowHeight="12.75"/>
  <cols>
    <col min="1" max="1" width="9.125" style="2" customWidth="1"/>
    <col min="2" max="2" width="125.875" style="2" customWidth="1"/>
    <col min="3" max="3" width="25.75390625" style="2" customWidth="1"/>
    <col min="4" max="4" width="26.875" style="2" customWidth="1"/>
    <col min="5" max="5" width="25.125" style="2" customWidth="1"/>
    <col min="6" max="6" width="20.75390625" style="2" customWidth="1"/>
    <col min="7" max="16384" width="9.125" style="2" customWidth="1"/>
  </cols>
  <sheetData>
    <row r="1" spans="1:6" s="48" customFormat="1" ht="38.25" customHeight="1">
      <c r="A1" s="152" t="str">
        <f>NFZ!A1</f>
        <v>ZMIANA PLANU NARODOWEGO FUNDUSZU ZDROWIA NA 2014 R. Z DNIA 30 GRUDNIA 2014 R.</v>
      </c>
      <c r="B1" s="152"/>
      <c r="C1" s="152"/>
      <c r="D1" s="152"/>
      <c r="E1" s="152"/>
      <c r="F1" s="152"/>
    </row>
    <row r="2" spans="1:3" s="50" customFormat="1" ht="33" customHeight="1">
      <c r="A2" s="88" t="s">
        <v>70</v>
      </c>
      <c r="B2" s="88"/>
      <c r="C2" s="94"/>
    </row>
    <row r="3" spans="1:6" ht="33" customHeight="1">
      <c r="A3" s="8"/>
      <c r="B3" s="9"/>
      <c r="C3" s="87"/>
      <c r="D3" s="87"/>
      <c r="E3" s="87" t="s">
        <v>159</v>
      </c>
      <c r="F3" s="10"/>
    </row>
    <row r="4" spans="1:6" s="6" customFormat="1" ht="45" customHeight="1">
      <c r="A4" s="149" t="s">
        <v>132</v>
      </c>
      <c r="B4" s="149" t="s">
        <v>55</v>
      </c>
      <c r="C4" s="150" t="s">
        <v>236</v>
      </c>
      <c r="D4" s="150" t="s">
        <v>191</v>
      </c>
      <c r="E4" s="153" t="s">
        <v>192</v>
      </c>
      <c r="F4" s="153" t="s">
        <v>193</v>
      </c>
    </row>
    <row r="5" spans="1:6" s="6" customFormat="1" ht="45" customHeight="1">
      <c r="A5" s="149"/>
      <c r="B5" s="149"/>
      <c r="C5" s="151"/>
      <c r="D5" s="151"/>
      <c r="E5" s="153"/>
      <c r="F5" s="153"/>
    </row>
    <row r="6" spans="1:6" s="4" customFormat="1" ht="14.25">
      <c r="A6" s="47">
        <v>1</v>
      </c>
      <c r="B6" s="52">
        <v>2</v>
      </c>
      <c r="C6" s="47">
        <v>3</v>
      </c>
      <c r="D6" s="52">
        <v>4</v>
      </c>
      <c r="E6" s="47">
        <v>5</v>
      </c>
      <c r="F6" s="52">
        <v>6</v>
      </c>
    </row>
    <row r="7" spans="1:6" s="3" customFormat="1" ht="30" customHeight="1">
      <c r="A7" s="23" t="s">
        <v>0</v>
      </c>
      <c r="B7" s="39" t="s">
        <v>248</v>
      </c>
      <c r="C7" s="16">
        <f>C8+C9+C10+C15+C16+C17+C18+C19+C20+C21+C22+C23+C24+C25+C29+C30+C32+C33</f>
        <v>3380335</v>
      </c>
      <c r="D7" s="16">
        <f>D8+D9+D10+D15+D16+D17+D18+D19+D20+D21+D22+D23+D24+D25+D29+D30+D32+D33</f>
        <v>3383854</v>
      </c>
      <c r="E7" s="13">
        <f>IF(C7=D7,"-",D7-C7)</f>
        <v>3519</v>
      </c>
      <c r="F7" s="95">
        <f>IF(C7=0,"-",D7/C7)</f>
        <v>1.001</v>
      </c>
    </row>
    <row r="8" spans="1:6" ht="33" customHeight="1">
      <c r="A8" s="29" t="s">
        <v>1</v>
      </c>
      <c r="B8" s="35" t="s">
        <v>133</v>
      </c>
      <c r="C8" s="81">
        <v>417844</v>
      </c>
      <c r="D8" s="25">
        <f>C8+1519</f>
        <v>419363</v>
      </c>
      <c r="E8" s="96">
        <f aca="true" t="shared" si="0" ref="E8:E64">IF(C8=D8,"-",D8-C8)</f>
        <v>1519</v>
      </c>
      <c r="F8" s="97">
        <f aca="true" t="shared" si="1" ref="F8:F64">IF(C8=0,"-",D8/C8)</f>
        <v>1.0036</v>
      </c>
    </row>
    <row r="9" spans="1:6" ht="33" customHeight="1">
      <c r="A9" s="29" t="s">
        <v>2</v>
      </c>
      <c r="B9" s="35" t="s">
        <v>134</v>
      </c>
      <c r="C9" s="81">
        <v>288991</v>
      </c>
      <c r="D9" s="25">
        <f aca="true" t="shared" si="2" ref="D9:D33">C9</f>
        <v>288991</v>
      </c>
      <c r="E9" s="96" t="str">
        <f t="shared" si="0"/>
        <v>-</v>
      </c>
      <c r="F9" s="97">
        <f t="shared" si="1"/>
        <v>1</v>
      </c>
    </row>
    <row r="10" spans="1:6" ht="33" customHeight="1">
      <c r="A10" s="29" t="s">
        <v>3</v>
      </c>
      <c r="B10" s="35" t="s">
        <v>131</v>
      </c>
      <c r="C10" s="81">
        <v>1619868</v>
      </c>
      <c r="D10" s="25">
        <f t="shared" si="2"/>
        <v>1619868</v>
      </c>
      <c r="E10" s="96" t="str">
        <f t="shared" si="0"/>
        <v>-</v>
      </c>
      <c r="F10" s="97">
        <f t="shared" si="1"/>
        <v>1</v>
      </c>
    </row>
    <row r="11" spans="1:6" ht="31.5" customHeight="1">
      <c r="A11" s="28" t="s">
        <v>57</v>
      </c>
      <c r="B11" s="34" t="s">
        <v>160</v>
      </c>
      <c r="C11" s="81">
        <v>146665</v>
      </c>
      <c r="D11" s="25">
        <f t="shared" si="2"/>
        <v>146665</v>
      </c>
      <c r="E11" s="96" t="str">
        <f t="shared" si="0"/>
        <v>-</v>
      </c>
      <c r="F11" s="97">
        <f t="shared" si="1"/>
        <v>1</v>
      </c>
    </row>
    <row r="12" spans="1:6" ht="31.5" customHeight="1">
      <c r="A12" s="28" t="s">
        <v>161</v>
      </c>
      <c r="B12" s="34" t="s">
        <v>164</v>
      </c>
      <c r="C12" s="81">
        <v>128505</v>
      </c>
      <c r="D12" s="25">
        <f t="shared" si="2"/>
        <v>128505</v>
      </c>
      <c r="E12" s="96" t="str">
        <f t="shared" si="0"/>
        <v>-</v>
      </c>
      <c r="F12" s="97">
        <f t="shared" si="1"/>
        <v>1</v>
      </c>
    </row>
    <row r="13" spans="1:6" ht="31.5" customHeight="1">
      <c r="A13" s="28" t="s">
        <v>162</v>
      </c>
      <c r="B13" s="34" t="s">
        <v>165</v>
      </c>
      <c r="C13" s="81">
        <v>68893</v>
      </c>
      <c r="D13" s="25">
        <f t="shared" si="2"/>
        <v>68893</v>
      </c>
      <c r="E13" s="96" t="str">
        <f t="shared" si="0"/>
        <v>-</v>
      </c>
      <c r="F13" s="97">
        <f t="shared" si="1"/>
        <v>1</v>
      </c>
    </row>
    <row r="14" spans="1:6" ht="31.5" customHeight="1">
      <c r="A14" s="28" t="s">
        <v>163</v>
      </c>
      <c r="B14" s="34" t="s">
        <v>166</v>
      </c>
      <c r="C14" s="81">
        <v>25977</v>
      </c>
      <c r="D14" s="25">
        <f t="shared" si="2"/>
        <v>25977</v>
      </c>
      <c r="E14" s="96" t="str">
        <f t="shared" si="0"/>
        <v>-</v>
      </c>
      <c r="F14" s="97">
        <f t="shared" si="1"/>
        <v>1</v>
      </c>
    </row>
    <row r="15" spans="1:6" ht="33" customHeight="1">
      <c r="A15" s="29" t="s">
        <v>4</v>
      </c>
      <c r="B15" s="35" t="s">
        <v>139</v>
      </c>
      <c r="C15" s="81">
        <v>110869</v>
      </c>
      <c r="D15" s="25">
        <f t="shared" si="2"/>
        <v>110869</v>
      </c>
      <c r="E15" s="96" t="str">
        <f t="shared" si="0"/>
        <v>-</v>
      </c>
      <c r="F15" s="97">
        <f t="shared" si="1"/>
        <v>1</v>
      </c>
    </row>
    <row r="16" spans="1:6" ht="33" customHeight="1">
      <c r="A16" s="29" t="s">
        <v>5</v>
      </c>
      <c r="B16" s="35" t="s">
        <v>135</v>
      </c>
      <c r="C16" s="81">
        <v>138560</v>
      </c>
      <c r="D16" s="25">
        <f t="shared" si="2"/>
        <v>138560</v>
      </c>
      <c r="E16" s="96" t="str">
        <f t="shared" si="0"/>
        <v>-</v>
      </c>
      <c r="F16" s="97">
        <f t="shared" si="1"/>
        <v>1</v>
      </c>
    </row>
    <row r="17" spans="1:6" ht="33" customHeight="1">
      <c r="A17" s="29" t="s">
        <v>6</v>
      </c>
      <c r="B17" s="35" t="s">
        <v>141</v>
      </c>
      <c r="C17" s="81">
        <v>87845</v>
      </c>
      <c r="D17" s="25">
        <f t="shared" si="2"/>
        <v>87845</v>
      </c>
      <c r="E17" s="96" t="str">
        <f t="shared" si="0"/>
        <v>-</v>
      </c>
      <c r="F17" s="97">
        <f t="shared" si="1"/>
        <v>1</v>
      </c>
    </row>
    <row r="18" spans="1:6" ht="33" customHeight="1">
      <c r="A18" s="29" t="s">
        <v>7</v>
      </c>
      <c r="B18" s="35" t="s">
        <v>140</v>
      </c>
      <c r="C18" s="81">
        <v>21150</v>
      </c>
      <c r="D18" s="25">
        <f>C18+2000</f>
        <v>23150</v>
      </c>
      <c r="E18" s="96">
        <f t="shared" si="0"/>
        <v>2000</v>
      </c>
      <c r="F18" s="97">
        <f t="shared" si="1"/>
        <v>1.0946</v>
      </c>
    </row>
    <row r="19" spans="1:6" ht="33" customHeight="1">
      <c r="A19" s="29" t="s">
        <v>8</v>
      </c>
      <c r="B19" s="35" t="s">
        <v>136</v>
      </c>
      <c r="C19" s="81">
        <v>108248</v>
      </c>
      <c r="D19" s="25">
        <f t="shared" si="2"/>
        <v>108248</v>
      </c>
      <c r="E19" s="96" t="str">
        <f t="shared" si="0"/>
        <v>-</v>
      </c>
      <c r="F19" s="97">
        <f t="shared" si="1"/>
        <v>1</v>
      </c>
    </row>
    <row r="20" spans="1:6" ht="33" customHeight="1">
      <c r="A20" s="29" t="s">
        <v>9</v>
      </c>
      <c r="B20" s="35" t="s">
        <v>137</v>
      </c>
      <c r="C20" s="81">
        <v>31970</v>
      </c>
      <c r="D20" s="25">
        <f t="shared" si="2"/>
        <v>31970</v>
      </c>
      <c r="E20" s="96" t="str">
        <f t="shared" si="0"/>
        <v>-</v>
      </c>
      <c r="F20" s="97">
        <f t="shared" si="1"/>
        <v>1</v>
      </c>
    </row>
    <row r="21" spans="1:6" ht="33" customHeight="1">
      <c r="A21" s="29" t="s">
        <v>10</v>
      </c>
      <c r="B21" s="35" t="s">
        <v>142</v>
      </c>
      <c r="C21" s="81">
        <v>3166</v>
      </c>
      <c r="D21" s="25">
        <f t="shared" si="2"/>
        <v>3166</v>
      </c>
      <c r="E21" s="96" t="str">
        <f t="shared" si="0"/>
        <v>-</v>
      </c>
      <c r="F21" s="97">
        <f t="shared" si="1"/>
        <v>1</v>
      </c>
    </row>
    <row r="22" spans="1:6" ht="46.5" customHeight="1">
      <c r="A22" s="29" t="s">
        <v>11</v>
      </c>
      <c r="B22" s="35" t="s">
        <v>138</v>
      </c>
      <c r="C22" s="81">
        <v>7443</v>
      </c>
      <c r="D22" s="25">
        <f t="shared" si="2"/>
        <v>7443</v>
      </c>
      <c r="E22" s="96" t="str">
        <f t="shared" si="0"/>
        <v>-</v>
      </c>
      <c r="F22" s="97">
        <f t="shared" si="1"/>
        <v>1</v>
      </c>
    </row>
    <row r="23" spans="1:6" ht="33" customHeight="1">
      <c r="A23" s="29" t="s">
        <v>12</v>
      </c>
      <c r="B23" s="35" t="s">
        <v>185</v>
      </c>
      <c r="C23" s="81">
        <v>84799</v>
      </c>
      <c r="D23" s="25">
        <f t="shared" si="2"/>
        <v>84799</v>
      </c>
      <c r="E23" s="96" t="str">
        <f t="shared" si="0"/>
        <v>-</v>
      </c>
      <c r="F23" s="97">
        <f t="shared" si="1"/>
        <v>1</v>
      </c>
    </row>
    <row r="24" spans="1:6" ht="33" customHeight="1">
      <c r="A24" s="29" t="s">
        <v>13</v>
      </c>
      <c r="B24" s="35" t="s">
        <v>167</v>
      </c>
      <c r="C24" s="81">
        <v>43500</v>
      </c>
      <c r="D24" s="25">
        <f t="shared" si="2"/>
        <v>43500</v>
      </c>
      <c r="E24" s="96" t="str">
        <f t="shared" si="0"/>
        <v>-</v>
      </c>
      <c r="F24" s="97">
        <f t="shared" si="1"/>
        <v>1</v>
      </c>
    </row>
    <row r="25" spans="1:6" ht="33" customHeight="1">
      <c r="A25" s="30" t="s">
        <v>14</v>
      </c>
      <c r="B25" s="78" t="s">
        <v>249</v>
      </c>
      <c r="C25" s="81">
        <f>SUM(C26:C28)</f>
        <v>380000</v>
      </c>
      <c r="D25" s="81">
        <f>SUM(D26:D28)</f>
        <v>380000</v>
      </c>
      <c r="E25" s="96" t="str">
        <f t="shared" si="0"/>
        <v>-</v>
      </c>
      <c r="F25" s="97">
        <f t="shared" si="1"/>
        <v>1</v>
      </c>
    </row>
    <row r="26" spans="1:6" ht="31.5">
      <c r="A26" s="28" t="s">
        <v>143</v>
      </c>
      <c r="B26" s="34" t="s">
        <v>170</v>
      </c>
      <c r="C26" s="81">
        <v>367000</v>
      </c>
      <c r="D26" s="25">
        <f t="shared" si="2"/>
        <v>367000</v>
      </c>
      <c r="E26" s="96" t="str">
        <f t="shared" si="0"/>
        <v>-</v>
      </c>
      <c r="F26" s="97">
        <f t="shared" si="1"/>
        <v>1</v>
      </c>
    </row>
    <row r="27" spans="1:6" ht="31.5" customHeight="1">
      <c r="A27" s="28" t="s">
        <v>169</v>
      </c>
      <c r="B27" s="34" t="s">
        <v>172</v>
      </c>
      <c r="C27" s="81">
        <v>11000</v>
      </c>
      <c r="D27" s="25">
        <f t="shared" si="2"/>
        <v>11000</v>
      </c>
      <c r="E27" s="96" t="str">
        <f t="shared" si="0"/>
        <v>-</v>
      </c>
      <c r="F27" s="97">
        <f t="shared" si="1"/>
        <v>1</v>
      </c>
    </row>
    <row r="28" spans="1:6" ht="31.5" customHeight="1">
      <c r="A28" s="28" t="s">
        <v>173</v>
      </c>
      <c r="B28" s="34" t="s">
        <v>171</v>
      </c>
      <c r="C28" s="81">
        <v>2000</v>
      </c>
      <c r="D28" s="25">
        <f t="shared" si="2"/>
        <v>2000</v>
      </c>
      <c r="E28" s="96" t="str">
        <f t="shared" si="0"/>
        <v>-</v>
      </c>
      <c r="F28" s="97">
        <f t="shared" si="1"/>
        <v>1</v>
      </c>
    </row>
    <row r="29" spans="1:6" ht="33" customHeight="1">
      <c r="A29" s="31" t="s">
        <v>15</v>
      </c>
      <c r="B29" s="36" t="s">
        <v>122</v>
      </c>
      <c r="C29" s="81">
        <v>0</v>
      </c>
      <c r="D29" s="25">
        <f t="shared" si="2"/>
        <v>0</v>
      </c>
      <c r="E29" s="96" t="str">
        <f t="shared" si="0"/>
        <v>-</v>
      </c>
      <c r="F29" s="97" t="str">
        <f t="shared" si="1"/>
        <v>-</v>
      </c>
    </row>
    <row r="30" spans="1:6" ht="33" customHeight="1">
      <c r="A30" s="31" t="s">
        <v>119</v>
      </c>
      <c r="B30" s="37" t="s">
        <v>174</v>
      </c>
      <c r="C30" s="81">
        <v>0</v>
      </c>
      <c r="D30" s="25">
        <f t="shared" si="2"/>
        <v>0</v>
      </c>
      <c r="E30" s="96" t="str">
        <f t="shared" si="0"/>
        <v>-</v>
      </c>
      <c r="F30" s="97" t="str">
        <f t="shared" si="1"/>
        <v>-</v>
      </c>
    </row>
    <row r="31" spans="1:6" ht="31.5" customHeight="1">
      <c r="A31" s="28" t="s">
        <v>175</v>
      </c>
      <c r="B31" s="34" t="s">
        <v>187</v>
      </c>
      <c r="C31" s="81">
        <v>0</v>
      </c>
      <c r="D31" s="25">
        <f t="shared" si="2"/>
        <v>0</v>
      </c>
      <c r="E31" s="96" t="str">
        <f t="shared" si="0"/>
        <v>-</v>
      </c>
      <c r="F31" s="97" t="str">
        <f t="shared" si="1"/>
        <v>-</v>
      </c>
    </row>
    <row r="32" spans="1:6" ht="33" customHeight="1">
      <c r="A32" s="31" t="s">
        <v>120</v>
      </c>
      <c r="B32" s="37" t="s">
        <v>123</v>
      </c>
      <c r="C32" s="81">
        <v>0</v>
      </c>
      <c r="D32" s="25">
        <f t="shared" si="2"/>
        <v>0</v>
      </c>
      <c r="E32" s="96" t="str">
        <f t="shared" si="0"/>
        <v>-</v>
      </c>
      <c r="F32" s="97" t="str">
        <f t="shared" si="1"/>
        <v>-</v>
      </c>
    </row>
    <row r="33" spans="1:6" ht="33" customHeight="1">
      <c r="A33" s="31" t="s">
        <v>121</v>
      </c>
      <c r="B33" s="37" t="s">
        <v>186</v>
      </c>
      <c r="C33" s="81">
        <v>36082</v>
      </c>
      <c r="D33" s="25">
        <f t="shared" si="2"/>
        <v>36082</v>
      </c>
      <c r="E33" s="96" t="str">
        <f t="shared" si="0"/>
        <v>-</v>
      </c>
      <c r="F33" s="97">
        <f t="shared" si="1"/>
        <v>1</v>
      </c>
    </row>
    <row r="34" spans="1:6" ht="51.75" customHeight="1">
      <c r="A34" s="31" t="s">
        <v>246</v>
      </c>
      <c r="B34" s="37" t="s">
        <v>247</v>
      </c>
      <c r="C34" s="81">
        <v>0</v>
      </c>
      <c r="D34" s="25">
        <f>C34</f>
        <v>0</v>
      </c>
      <c r="E34" s="96" t="str">
        <f>IF(C34=D34,"-",D34-C34)</f>
        <v>-</v>
      </c>
      <c r="F34" s="97" t="str">
        <f>IF(C34=0,"-",D34/C34)</f>
        <v>-</v>
      </c>
    </row>
    <row r="35" spans="1:6" s="5" customFormat="1" ht="31.5" customHeight="1">
      <c r="A35" s="32" t="s">
        <v>59</v>
      </c>
      <c r="B35" s="38" t="s">
        <v>60</v>
      </c>
      <c r="C35" s="84">
        <v>0</v>
      </c>
      <c r="D35" s="92">
        <f>C35</f>
        <v>0</v>
      </c>
      <c r="E35" s="15" t="str">
        <f t="shared" si="0"/>
        <v>-</v>
      </c>
      <c r="F35" s="98" t="str">
        <f t="shared" si="1"/>
        <v>-</v>
      </c>
    </row>
    <row r="36" spans="1:6" s="5" customFormat="1" ht="31.5" customHeight="1">
      <c r="A36" s="32" t="s">
        <v>58</v>
      </c>
      <c r="B36" s="38" t="s">
        <v>61</v>
      </c>
      <c r="C36" s="84">
        <v>106378</v>
      </c>
      <c r="D36" s="93">
        <f>C36</f>
        <v>106378</v>
      </c>
      <c r="E36" s="15" t="str">
        <f t="shared" si="0"/>
        <v>-</v>
      </c>
      <c r="F36" s="98">
        <f t="shared" si="1"/>
        <v>1</v>
      </c>
    </row>
    <row r="37" spans="1:6" s="5" customFormat="1" ht="42.75" customHeight="1">
      <c r="A37" s="32" t="s">
        <v>176</v>
      </c>
      <c r="B37" s="38" t="s">
        <v>177</v>
      </c>
      <c r="C37" s="84">
        <v>534482</v>
      </c>
      <c r="D37" s="84">
        <f>D12+D14+D25+D31</f>
        <v>534482</v>
      </c>
      <c r="E37" s="15" t="str">
        <f t="shared" si="0"/>
        <v>-</v>
      </c>
      <c r="F37" s="98">
        <f t="shared" si="1"/>
        <v>1</v>
      </c>
    </row>
    <row r="38" spans="1:6" s="3" customFormat="1" ht="30" customHeight="1">
      <c r="A38" s="26" t="s">
        <v>16</v>
      </c>
      <c r="B38" s="46" t="s">
        <v>250</v>
      </c>
      <c r="C38" s="24">
        <f>C39+C40+C41+C49+C51+C57+C58+C56</f>
        <v>25946</v>
      </c>
      <c r="D38" s="24">
        <f>D39+D40+D41+D49+D51+D57+D58+D56</f>
        <v>25946</v>
      </c>
      <c r="E38" s="13" t="str">
        <f t="shared" si="0"/>
        <v>-</v>
      </c>
      <c r="F38" s="99">
        <f t="shared" si="1"/>
        <v>1</v>
      </c>
    </row>
    <row r="39" spans="1:6" ht="28.5" customHeight="1">
      <c r="A39" s="31" t="s">
        <v>17</v>
      </c>
      <c r="B39" s="40" t="s">
        <v>18</v>
      </c>
      <c r="C39" s="81">
        <v>1252</v>
      </c>
      <c r="D39" s="85">
        <f>C39</f>
        <v>1252</v>
      </c>
      <c r="E39" s="96" t="str">
        <f t="shared" si="0"/>
        <v>-</v>
      </c>
      <c r="F39" s="97">
        <f t="shared" si="1"/>
        <v>1</v>
      </c>
    </row>
    <row r="40" spans="1:6" ht="28.5" customHeight="1">
      <c r="A40" s="31" t="s">
        <v>19</v>
      </c>
      <c r="B40" s="40" t="s">
        <v>20</v>
      </c>
      <c r="C40" s="81">
        <v>3528</v>
      </c>
      <c r="D40" s="85">
        <f>C40</f>
        <v>3528</v>
      </c>
      <c r="E40" s="96" t="str">
        <f t="shared" si="0"/>
        <v>-</v>
      </c>
      <c r="F40" s="97">
        <f t="shared" si="1"/>
        <v>1</v>
      </c>
    </row>
    <row r="41" spans="1:6" ht="28.5" customHeight="1">
      <c r="A41" s="31" t="s">
        <v>21</v>
      </c>
      <c r="B41" s="41" t="s">
        <v>251</v>
      </c>
      <c r="C41" s="85">
        <f>C42+C44+C45+C46+C47+C48</f>
        <v>132</v>
      </c>
      <c r="D41" s="85">
        <f>D42+D44+D45+D46+D47+D48</f>
        <v>132</v>
      </c>
      <c r="E41" s="96" t="str">
        <f t="shared" si="0"/>
        <v>-</v>
      </c>
      <c r="F41" s="97">
        <f t="shared" si="1"/>
        <v>1</v>
      </c>
    </row>
    <row r="42" spans="1:6" ht="28.5" customHeight="1">
      <c r="A42" s="42" t="s">
        <v>39</v>
      </c>
      <c r="B42" s="43" t="s">
        <v>32</v>
      </c>
      <c r="C42" s="81">
        <v>26</v>
      </c>
      <c r="D42" s="85">
        <f>C42</f>
        <v>26</v>
      </c>
      <c r="E42" s="96" t="str">
        <f t="shared" si="0"/>
        <v>-</v>
      </c>
      <c r="F42" s="97">
        <f t="shared" si="1"/>
        <v>1</v>
      </c>
    </row>
    <row r="43" spans="1:6" ht="28.5" customHeight="1">
      <c r="A43" s="42" t="s">
        <v>40</v>
      </c>
      <c r="B43" s="44" t="s">
        <v>33</v>
      </c>
      <c r="C43" s="81">
        <v>26</v>
      </c>
      <c r="D43" s="85">
        <f aca="true" t="shared" si="3" ref="D43:D55">C43</f>
        <v>26</v>
      </c>
      <c r="E43" s="96" t="str">
        <f t="shared" si="0"/>
        <v>-</v>
      </c>
      <c r="F43" s="97">
        <f t="shared" si="1"/>
        <v>1</v>
      </c>
    </row>
    <row r="44" spans="1:6" ht="28.5" customHeight="1">
      <c r="A44" s="42" t="s">
        <v>41</v>
      </c>
      <c r="B44" s="43" t="s">
        <v>34</v>
      </c>
      <c r="C44" s="81">
        <v>12</v>
      </c>
      <c r="D44" s="85">
        <f>C44</f>
        <v>12</v>
      </c>
      <c r="E44" s="96" t="str">
        <f t="shared" si="0"/>
        <v>-</v>
      </c>
      <c r="F44" s="97">
        <f t="shared" si="1"/>
        <v>1</v>
      </c>
    </row>
    <row r="45" spans="1:6" ht="28.5" customHeight="1">
      <c r="A45" s="42" t="s">
        <v>42</v>
      </c>
      <c r="B45" s="43" t="s">
        <v>35</v>
      </c>
      <c r="C45" s="81">
        <v>0</v>
      </c>
      <c r="D45" s="85">
        <f t="shared" si="3"/>
        <v>0</v>
      </c>
      <c r="E45" s="96" t="str">
        <f t="shared" si="0"/>
        <v>-</v>
      </c>
      <c r="F45" s="97" t="str">
        <f t="shared" si="1"/>
        <v>-</v>
      </c>
    </row>
    <row r="46" spans="1:6" ht="28.5" customHeight="1">
      <c r="A46" s="42" t="s">
        <v>43</v>
      </c>
      <c r="B46" s="43" t="s">
        <v>36</v>
      </c>
      <c r="C46" s="81">
        <v>0</v>
      </c>
      <c r="D46" s="85">
        <f t="shared" si="3"/>
        <v>0</v>
      </c>
      <c r="E46" s="96" t="str">
        <f t="shared" si="0"/>
        <v>-</v>
      </c>
      <c r="F46" s="97" t="str">
        <f t="shared" si="1"/>
        <v>-</v>
      </c>
    </row>
    <row r="47" spans="1:6" ht="28.5" customHeight="1">
      <c r="A47" s="42" t="s">
        <v>44</v>
      </c>
      <c r="B47" s="43" t="s">
        <v>37</v>
      </c>
      <c r="C47" s="81">
        <v>61</v>
      </c>
      <c r="D47" s="85">
        <f t="shared" si="3"/>
        <v>61</v>
      </c>
      <c r="E47" s="96" t="str">
        <f t="shared" si="0"/>
        <v>-</v>
      </c>
      <c r="F47" s="97">
        <f t="shared" si="1"/>
        <v>1</v>
      </c>
    </row>
    <row r="48" spans="1:6" ht="28.5" customHeight="1">
      <c r="A48" s="42" t="s">
        <v>45</v>
      </c>
      <c r="B48" s="43" t="s">
        <v>38</v>
      </c>
      <c r="C48" s="81">
        <v>33</v>
      </c>
      <c r="D48" s="85">
        <f>C48</f>
        <v>33</v>
      </c>
      <c r="E48" s="96" t="str">
        <f t="shared" si="0"/>
        <v>-</v>
      </c>
      <c r="F48" s="97">
        <f t="shared" si="1"/>
        <v>1</v>
      </c>
    </row>
    <row r="49" spans="1:6" ht="28.5" customHeight="1">
      <c r="A49" s="31" t="s">
        <v>22</v>
      </c>
      <c r="B49" s="40" t="s">
        <v>178</v>
      </c>
      <c r="C49" s="81">
        <v>13411</v>
      </c>
      <c r="D49" s="85">
        <f>C49</f>
        <v>13411</v>
      </c>
      <c r="E49" s="96" t="str">
        <f t="shared" si="0"/>
        <v>-</v>
      </c>
      <c r="F49" s="97">
        <f t="shared" si="1"/>
        <v>1</v>
      </c>
    </row>
    <row r="50" spans="1:6" ht="28.5" customHeight="1">
      <c r="A50" s="42" t="s">
        <v>179</v>
      </c>
      <c r="B50" s="43" t="s">
        <v>180</v>
      </c>
      <c r="C50" s="81">
        <v>10</v>
      </c>
      <c r="D50" s="85">
        <f>C50</f>
        <v>10</v>
      </c>
      <c r="E50" s="96" t="str">
        <f t="shared" si="0"/>
        <v>-</v>
      </c>
      <c r="F50" s="97">
        <f t="shared" si="1"/>
        <v>1</v>
      </c>
    </row>
    <row r="51" spans="1:6" ht="28.5" customHeight="1">
      <c r="A51" s="31" t="s">
        <v>23</v>
      </c>
      <c r="B51" s="41" t="s">
        <v>252</v>
      </c>
      <c r="C51" s="77">
        <f>C52+C53+C54+C55</f>
        <v>2975</v>
      </c>
      <c r="D51" s="77">
        <f>D52+D53+D54+D55</f>
        <v>2975</v>
      </c>
      <c r="E51" s="96" t="str">
        <f t="shared" si="0"/>
        <v>-</v>
      </c>
      <c r="F51" s="97">
        <f t="shared" si="1"/>
        <v>1</v>
      </c>
    </row>
    <row r="52" spans="1:6" ht="28.5" customHeight="1">
      <c r="A52" s="42" t="s">
        <v>50</v>
      </c>
      <c r="B52" s="43" t="s">
        <v>46</v>
      </c>
      <c r="C52" s="81">
        <v>2305</v>
      </c>
      <c r="D52" s="85">
        <f t="shared" si="3"/>
        <v>2305</v>
      </c>
      <c r="E52" s="96" t="str">
        <f t="shared" si="0"/>
        <v>-</v>
      </c>
      <c r="F52" s="97">
        <f t="shared" si="1"/>
        <v>1</v>
      </c>
    </row>
    <row r="53" spans="1:6" ht="28.5" customHeight="1">
      <c r="A53" s="42" t="s">
        <v>51</v>
      </c>
      <c r="B53" s="43" t="s">
        <v>47</v>
      </c>
      <c r="C53" s="81">
        <v>328</v>
      </c>
      <c r="D53" s="85">
        <f t="shared" si="3"/>
        <v>328</v>
      </c>
      <c r="E53" s="96" t="str">
        <f t="shared" si="0"/>
        <v>-</v>
      </c>
      <c r="F53" s="97">
        <f t="shared" si="1"/>
        <v>1</v>
      </c>
    </row>
    <row r="54" spans="1:6" ht="28.5" customHeight="1">
      <c r="A54" s="42" t="s">
        <v>52</v>
      </c>
      <c r="B54" s="43" t="s">
        <v>48</v>
      </c>
      <c r="C54" s="81">
        <v>0</v>
      </c>
      <c r="D54" s="85">
        <f t="shared" si="3"/>
        <v>0</v>
      </c>
      <c r="E54" s="96" t="str">
        <f t="shared" si="0"/>
        <v>-</v>
      </c>
      <c r="F54" s="97" t="str">
        <f t="shared" si="1"/>
        <v>-</v>
      </c>
    </row>
    <row r="55" spans="1:6" ht="28.5" customHeight="1">
      <c r="A55" s="42" t="s">
        <v>53</v>
      </c>
      <c r="B55" s="43" t="s">
        <v>49</v>
      </c>
      <c r="C55" s="81">
        <v>342</v>
      </c>
      <c r="D55" s="85">
        <f t="shared" si="3"/>
        <v>342</v>
      </c>
      <c r="E55" s="96" t="str">
        <f t="shared" si="0"/>
        <v>-</v>
      </c>
      <c r="F55" s="97">
        <f t="shared" si="1"/>
        <v>1</v>
      </c>
    </row>
    <row r="56" spans="1:6" ht="28.5" customHeight="1">
      <c r="A56" s="31" t="s">
        <v>24</v>
      </c>
      <c r="B56" s="40" t="s">
        <v>25</v>
      </c>
      <c r="C56" s="81">
        <v>0</v>
      </c>
      <c r="D56" s="85">
        <f>C56</f>
        <v>0</v>
      </c>
      <c r="E56" s="96" t="str">
        <f t="shared" si="0"/>
        <v>-</v>
      </c>
      <c r="F56" s="97" t="str">
        <f t="shared" si="1"/>
        <v>-</v>
      </c>
    </row>
    <row r="57" spans="1:6" ht="28.5" customHeight="1">
      <c r="A57" s="31" t="s">
        <v>26</v>
      </c>
      <c r="B57" s="40" t="s">
        <v>181</v>
      </c>
      <c r="C57" s="81">
        <v>4400</v>
      </c>
      <c r="D57" s="85">
        <f>C57</f>
        <v>4400</v>
      </c>
      <c r="E57" s="96" t="str">
        <f t="shared" si="0"/>
        <v>-</v>
      </c>
      <c r="F57" s="100">
        <f t="shared" si="1"/>
        <v>1</v>
      </c>
    </row>
    <row r="58" spans="1:6" ht="28.5" customHeight="1">
      <c r="A58" s="31" t="s">
        <v>27</v>
      </c>
      <c r="B58" s="40" t="s">
        <v>28</v>
      </c>
      <c r="C58" s="81">
        <v>248</v>
      </c>
      <c r="D58" s="85">
        <f>C58</f>
        <v>248</v>
      </c>
      <c r="E58" s="96" t="str">
        <f t="shared" si="0"/>
        <v>-</v>
      </c>
      <c r="F58" s="97">
        <f t="shared" si="1"/>
        <v>1</v>
      </c>
    </row>
    <row r="59" spans="1:6" s="3" customFormat="1" ht="30" customHeight="1">
      <c r="A59" s="33" t="s">
        <v>29</v>
      </c>
      <c r="B59" s="45" t="s">
        <v>182</v>
      </c>
      <c r="C59" s="27">
        <f>C60+C61+C62+C63</f>
        <v>16454</v>
      </c>
      <c r="D59" s="27">
        <f>D60+D61+D62+D63</f>
        <v>8270</v>
      </c>
      <c r="E59" s="13">
        <f t="shared" si="0"/>
        <v>-8184</v>
      </c>
      <c r="F59" s="101">
        <f t="shared" si="1"/>
        <v>0.5026</v>
      </c>
    </row>
    <row r="60" spans="1:6" ht="42" customHeight="1">
      <c r="A60" s="31" t="s">
        <v>102</v>
      </c>
      <c r="B60" s="40" t="s">
        <v>124</v>
      </c>
      <c r="C60" s="81">
        <v>10</v>
      </c>
      <c r="D60" s="85">
        <f>C60-10</f>
        <v>0</v>
      </c>
      <c r="E60" s="77">
        <f t="shared" si="0"/>
        <v>-10</v>
      </c>
      <c r="F60" s="97">
        <f t="shared" si="1"/>
        <v>0</v>
      </c>
    </row>
    <row r="61" spans="1:6" ht="31.5" customHeight="1">
      <c r="A61" s="31" t="s">
        <v>30</v>
      </c>
      <c r="B61" s="40" t="s">
        <v>56</v>
      </c>
      <c r="C61" s="81">
        <v>15774</v>
      </c>
      <c r="D61" s="85">
        <f>C61-8174</f>
        <v>7600</v>
      </c>
      <c r="E61" s="77">
        <f t="shared" si="0"/>
        <v>-8174</v>
      </c>
      <c r="F61" s="97">
        <f t="shared" si="1"/>
        <v>0.4818</v>
      </c>
    </row>
    <row r="62" spans="1:6" ht="31.5" customHeight="1">
      <c r="A62" s="31" t="s">
        <v>31</v>
      </c>
      <c r="B62" s="40" t="s">
        <v>104</v>
      </c>
      <c r="C62" s="81">
        <v>0</v>
      </c>
      <c r="D62" s="85">
        <f>C62</f>
        <v>0</v>
      </c>
      <c r="E62" s="77" t="str">
        <f t="shared" si="0"/>
        <v>-</v>
      </c>
      <c r="F62" s="97" t="str">
        <f t="shared" si="1"/>
        <v>-</v>
      </c>
    </row>
    <row r="63" spans="1:6" ht="31.5" customHeight="1">
      <c r="A63" s="31" t="s">
        <v>103</v>
      </c>
      <c r="B63" s="40" t="s">
        <v>105</v>
      </c>
      <c r="C63" s="81">
        <v>670</v>
      </c>
      <c r="D63" s="85">
        <f>C63</f>
        <v>670</v>
      </c>
      <c r="E63" s="77" t="str">
        <f t="shared" si="0"/>
        <v>-</v>
      </c>
      <c r="F63" s="97">
        <f t="shared" si="1"/>
        <v>1</v>
      </c>
    </row>
    <row r="64" spans="1:6" ht="32.25" customHeight="1">
      <c r="A64" s="33" t="s">
        <v>110</v>
      </c>
      <c r="B64" s="45" t="s">
        <v>129</v>
      </c>
      <c r="C64" s="27">
        <v>3778</v>
      </c>
      <c r="D64" s="27">
        <f>C64-3754</f>
        <v>24</v>
      </c>
      <c r="E64" s="13">
        <f t="shared" si="0"/>
        <v>-3754</v>
      </c>
      <c r="F64" s="101">
        <f t="shared" si="1"/>
        <v>0.0064</v>
      </c>
    </row>
  </sheetData>
  <sheetProtection formatCells="0" formatColumns="0" formatRows="0" insertColumns="0" insertRows="0" insertHyperlinks="0" deleteColumns="0" deleteRows="0"/>
  <mergeCells count="7">
    <mergeCell ref="F4:F5"/>
    <mergeCell ref="A1:F1"/>
    <mergeCell ref="A4:A5"/>
    <mergeCell ref="B4:B5"/>
    <mergeCell ref="C4:C5"/>
    <mergeCell ref="D4:D5"/>
    <mergeCell ref="E4:E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8" r:id="rId1"/>
  <headerFooter alignWithMargins="0">
    <oddFooter>&amp;R&amp;20&amp;P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showGridLines="0" view="pageBreakPreview" zoomScale="55" zoomScaleNormal="70" zoomScaleSheetLayoutView="55" zoomScalePageLayoutView="0" workbookViewId="0" topLeftCell="A1">
      <pane xSplit="2" ySplit="7" topLeftCell="C47" activePane="bottomRight" state="frozen"/>
      <selection pane="topLeft" activeCell="G1" sqref="G1:S65536"/>
      <selection pane="topRight" activeCell="G1" sqref="G1:S65536"/>
      <selection pane="bottomLeft" activeCell="G1" sqref="G1:S65536"/>
      <selection pane="bottomRight" activeCell="G1" sqref="G1:S65536"/>
    </sheetView>
  </sheetViews>
  <sheetFormatPr defaultColWidth="9.00390625" defaultRowHeight="12.75"/>
  <cols>
    <col min="1" max="1" width="9.125" style="2" customWidth="1"/>
    <col min="2" max="2" width="125.875" style="2" customWidth="1"/>
    <col min="3" max="3" width="25.75390625" style="2" customWidth="1"/>
    <col min="4" max="4" width="26.875" style="2" customWidth="1"/>
    <col min="5" max="5" width="25.125" style="2" customWidth="1"/>
    <col min="6" max="6" width="20.75390625" style="2" customWidth="1"/>
    <col min="7" max="16384" width="9.125" style="2" customWidth="1"/>
  </cols>
  <sheetData>
    <row r="1" spans="1:6" s="48" customFormat="1" ht="38.25" customHeight="1">
      <c r="A1" s="152" t="str">
        <f>NFZ!A1</f>
        <v>ZMIANA PLANU NARODOWEGO FUNDUSZU ZDROWIA NA 2014 R. Z DNIA 30 GRUDNIA 2014 R.</v>
      </c>
      <c r="B1" s="152"/>
      <c r="C1" s="152"/>
      <c r="D1" s="152"/>
      <c r="E1" s="152"/>
      <c r="F1" s="152"/>
    </row>
    <row r="2" spans="1:3" s="50" customFormat="1" ht="33" customHeight="1">
      <c r="A2" s="88" t="s">
        <v>71</v>
      </c>
      <c r="B2" s="88"/>
      <c r="C2" s="94"/>
    </row>
    <row r="3" spans="1:6" ht="33" customHeight="1">
      <c r="A3" s="8"/>
      <c r="B3" s="9"/>
      <c r="C3" s="87"/>
      <c r="D3" s="87"/>
      <c r="E3" s="87" t="s">
        <v>159</v>
      </c>
      <c r="F3" s="10"/>
    </row>
    <row r="4" spans="1:6" s="6" customFormat="1" ht="45" customHeight="1">
      <c r="A4" s="149" t="s">
        <v>132</v>
      </c>
      <c r="B4" s="149" t="s">
        <v>55</v>
      </c>
      <c r="C4" s="150" t="s">
        <v>236</v>
      </c>
      <c r="D4" s="150" t="s">
        <v>191</v>
      </c>
      <c r="E4" s="153" t="s">
        <v>192</v>
      </c>
      <c r="F4" s="153" t="s">
        <v>193</v>
      </c>
    </row>
    <row r="5" spans="1:6" s="6" customFormat="1" ht="45" customHeight="1">
      <c r="A5" s="149"/>
      <c r="B5" s="149"/>
      <c r="C5" s="151"/>
      <c r="D5" s="151"/>
      <c r="E5" s="153"/>
      <c r="F5" s="153"/>
    </row>
    <row r="6" spans="1:6" s="4" customFormat="1" ht="14.25">
      <c r="A6" s="47">
        <v>1</v>
      </c>
      <c r="B6" s="52">
        <v>2</v>
      </c>
      <c r="C6" s="47">
        <v>3</v>
      </c>
      <c r="D6" s="52">
        <v>4</v>
      </c>
      <c r="E6" s="47">
        <v>5</v>
      </c>
      <c r="F6" s="52">
        <v>6</v>
      </c>
    </row>
    <row r="7" spans="1:6" s="3" customFormat="1" ht="30" customHeight="1">
      <c r="A7" s="23" t="s">
        <v>0</v>
      </c>
      <c r="B7" s="39" t="s">
        <v>248</v>
      </c>
      <c r="C7" s="16">
        <f>C8+C9+C10+C15+C16+C17+C18+C19+C20+C21+C22+C23+C24+C25+C29+C30+C32+C33</f>
        <v>1947051</v>
      </c>
      <c r="D7" s="16">
        <f>D8+D9+D10+D15+D16+D17+D18+D19+D20+D21+D22+D23+D24+D25+D29+D30+D32+D33</f>
        <v>1949083</v>
      </c>
      <c r="E7" s="13">
        <f>IF(C7=D7,"-",D7-C7)</f>
        <v>2032</v>
      </c>
      <c r="F7" s="95">
        <f>IF(C7=0,"-",D7/C7)</f>
        <v>1.001</v>
      </c>
    </row>
    <row r="8" spans="1:6" ht="33" customHeight="1">
      <c r="A8" s="29" t="s">
        <v>1</v>
      </c>
      <c r="B8" s="35" t="s">
        <v>133</v>
      </c>
      <c r="C8" s="81">
        <v>230700</v>
      </c>
      <c r="D8" s="25">
        <f>C8</f>
        <v>230700</v>
      </c>
      <c r="E8" s="96" t="str">
        <f aca="true" t="shared" si="0" ref="E8:E64">IF(C8=D8,"-",D8-C8)</f>
        <v>-</v>
      </c>
      <c r="F8" s="97">
        <f aca="true" t="shared" si="1" ref="F8:F64">IF(C8=0,"-",D8/C8)</f>
        <v>1</v>
      </c>
    </row>
    <row r="9" spans="1:6" ht="33" customHeight="1">
      <c r="A9" s="29" t="s">
        <v>2</v>
      </c>
      <c r="B9" s="35" t="s">
        <v>134</v>
      </c>
      <c r="C9" s="81">
        <v>193070</v>
      </c>
      <c r="D9" s="25">
        <f aca="true" t="shared" si="2" ref="D9:D33">C9</f>
        <v>193070</v>
      </c>
      <c r="E9" s="96" t="str">
        <f t="shared" si="0"/>
        <v>-</v>
      </c>
      <c r="F9" s="97">
        <f t="shared" si="1"/>
        <v>1</v>
      </c>
    </row>
    <row r="10" spans="1:6" ht="33" customHeight="1">
      <c r="A10" s="29" t="s">
        <v>3</v>
      </c>
      <c r="B10" s="35" t="s">
        <v>131</v>
      </c>
      <c r="C10" s="81">
        <v>955290</v>
      </c>
      <c r="D10" s="25">
        <f>C10+1650</f>
        <v>956940</v>
      </c>
      <c r="E10" s="96">
        <f t="shared" si="0"/>
        <v>1650</v>
      </c>
      <c r="F10" s="97">
        <f t="shared" si="1"/>
        <v>1.0017</v>
      </c>
    </row>
    <row r="11" spans="1:6" ht="31.5" customHeight="1">
      <c r="A11" s="28" t="s">
        <v>57</v>
      </c>
      <c r="B11" s="34" t="s">
        <v>160</v>
      </c>
      <c r="C11" s="81">
        <v>77312</v>
      </c>
      <c r="D11" s="25">
        <f t="shared" si="2"/>
        <v>77312</v>
      </c>
      <c r="E11" s="96" t="str">
        <f t="shared" si="0"/>
        <v>-</v>
      </c>
      <c r="F11" s="97">
        <f t="shared" si="1"/>
        <v>1</v>
      </c>
    </row>
    <row r="12" spans="1:6" ht="31.5" customHeight="1">
      <c r="A12" s="28" t="s">
        <v>161</v>
      </c>
      <c r="B12" s="34" t="s">
        <v>164</v>
      </c>
      <c r="C12" s="81">
        <v>72536</v>
      </c>
      <c r="D12" s="25">
        <f t="shared" si="2"/>
        <v>72536</v>
      </c>
      <c r="E12" s="96" t="str">
        <f t="shared" si="0"/>
        <v>-</v>
      </c>
      <c r="F12" s="97">
        <f t="shared" si="1"/>
        <v>1</v>
      </c>
    </row>
    <row r="13" spans="1:6" ht="31.5" customHeight="1">
      <c r="A13" s="28" t="s">
        <v>162</v>
      </c>
      <c r="B13" s="34" t="s">
        <v>165</v>
      </c>
      <c r="C13" s="81">
        <v>44521</v>
      </c>
      <c r="D13" s="25">
        <f t="shared" si="2"/>
        <v>44521</v>
      </c>
      <c r="E13" s="96" t="str">
        <f t="shared" si="0"/>
        <v>-</v>
      </c>
      <c r="F13" s="97">
        <f t="shared" si="1"/>
        <v>1</v>
      </c>
    </row>
    <row r="14" spans="1:6" ht="31.5" customHeight="1">
      <c r="A14" s="28" t="s">
        <v>163</v>
      </c>
      <c r="B14" s="34" t="s">
        <v>166</v>
      </c>
      <c r="C14" s="81">
        <v>19076</v>
      </c>
      <c r="D14" s="25">
        <f t="shared" si="2"/>
        <v>19076</v>
      </c>
      <c r="E14" s="96" t="str">
        <f t="shared" si="0"/>
        <v>-</v>
      </c>
      <c r="F14" s="97">
        <f t="shared" si="1"/>
        <v>1</v>
      </c>
    </row>
    <row r="15" spans="1:6" ht="33" customHeight="1">
      <c r="A15" s="29" t="s">
        <v>4</v>
      </c>
      <c r="B15" s="35" t="s">
        <v>139</v>
      </c>
      <c r="C15" s="81">
        <v>82077</v>
      </c>
      <c r="D15" s="25">
        <f t="shared" si="2"/>
        <v>82077</v>
      </c>
      <c r="E15" s="96" t="str">
        <f t="shared" si="0"/>
        <v>-</v>
      </c>
      <c r="F15" s="97">
        <f t="shared" si="1"/>
        <v>1</v>
      </c>
    </row>
    <row r="16" spans="1:6" ht="33" customHeight="1">
      <c r="A16" s="29" t="s">
        <v>5</v>
      </c>
      <c r="B16" s="35" t="s">
        <v>135</v>
      </c>
      <c r="C16" s="81">
        <v>57129</v>
      </c>
      <c r="D16" s="25">
        <f t="shared" si="2"/>
        <v>57129</v>
      </c>
      <c r="E16" s="96" t="str">
        <f t="shared" si="0"/>
        <v>-</v>
      </c>
      <c r="F16" s="97">
        <f t="shared" si="1"/>
        <v>1</v>
      </c>
    </row>
    <row r="17" spans="1:6" ht="33" customHeight="1">
      <c r="A17" s="29" t="s">
        <v>6</v>
      </c>
      <c r="B17" s="35" t="s">
        <v>141</v>
      </c>
      <c r="C17" s="81">
        <v>26633</v>
      </c>
      <c r="D17" s="25">
        <f t="shared" si="2"/>
        <v>26633</v>
      </c>
      <c r="E17" s="96" t="str">
        <f t="shared" si="0"/>
        <v>-</v>
      </c>
      <c r="F17" s="97">
        <f t="shared" si="1"/>
        <v>1</v>
      </c>
    </row>
    <row r="18" spans="1:6" ht="33" customHeight="1">
      <c r="A18" s="29" t="s">
        <v>7</v>
      </c>
      <c r="B18" s="35" t="s">
        <v>140</v>
      </c>
      <c r="C18" s="81">
        <v>10898</v>
      </c>
      <c r="D18" s="25">
        <f>C18+382</f>
        <v>11280</v>
      </c>
      <c r="E18" s="96">
        <f t="shared" si="0"/>
        <v>382</v>
      </c>
      <c r="F18" s="97">
        <f t="shared" si="1"/>
        <v>1.0351</v>
      </c>
    </row>
    <row r="19" spans="1:6" ht="33" customHeight="1">
      <c r="A19" s="29" t="s">
        <v>8</v>
      </c>
      <c r="B19" s="35" t="s">
        <v>136</v>
      </c>
      <c r="C19" s="81">
        <v>64630</v>
      </c>
      <c r="D19" s="25">
        <f t="shared" si="2"/>
        <v>64630</v>
      </c>
      <c r="E19" s="96" t="str">
        <f t="shared" si="0"/>
        <v>-</v>
      </c>
      <c r="F19" s="97">
        <f t="shared" si="1"/>
        <v>1</v>
      </c>
    </row>
    <row r="20" spans="1:6" ht="33" customHeight="1">
      <c r="A20" s="29" t="s">
        <v>9</v>
      </c>
      <c r="B20" s="35" t="s">
        <v>137</v>
      </c>
      <c r="C20" s="81">
        <v>18401</v>
      </c>
      <c r="D20" s="25">
        <f t="shared" si="2"/>
        <v>18401</v>
      </c>
      <c r="E20" s="96" t="str">
        <f t="shared" si="0"/>
        <v>-</v>
      </c>
      <c r="F20" s="97">
        <f t="shared" si="1"/>
        <v>1</v>
      </c>
    </row>
    <row r="21" spans="1:6" ht="33" customHeight="1">
      <c r="A21" s="29" t="s">
        <v>10</v>
      </c>
      <c r="B21" s="35" t="s">
        <v>142</v>
      </c>
      <c r="C21" s="81">
        <v>1400</v>
      </c>
      <c r="D21" s="25">
        <f t="shared" si="2"/>
        <v>1400</v>
      </c>
      <c r="E21" s="96" t="str">
        <f t="shared" si="0"/>
        <v>-</v>
      </c>
      <c r="F21" s="97">
        <f t="shared" si="1"/>
        <v>1</v>
      </c>
    </row>
    <row r="22" spans="1:6" ht="46.5" customHeight="1">
      <c r="A22" s="29" t="s">
        <v>11</v>
      </c>
      <c r="B22" s="35" t="s">
        <v>138</v>
      </c>
      <c r="C22" s="81">
        <v>5519</v>
      </c>
      <c r="D22" s="25">
        <f t="shared" si="2"/>
        <v>5519</v>
      </c>
      <c r="E22" s="96" t="str">
        <f t="shared" si="0"/>
        <v>-</v>
      </c>
      <c r="F22" s="97">
        <f t="shared" si="1"/>
        <v>1</v>
      </c>
    </row>
    <row r="23" spans="1:6" ht="33" customHeight="1">
      <c r="A23" s="29" t="s">
        <v>12</v>
      </c>
      <c r="B23" s="35" t="s">
        <v>185</v>
      </c>
      <c r="C23" s="81">
        <v>42794</v>
      </c>
      <c r="D23" s="25">
        <f t="shared" si="2"/>
        <v>42794</v>
      </c>
      <c r="E23" s="96" t="str">
        <f t="shared" si="0"/>
        <v>-</v>
      </c>
      <c r="F23" s="97">
        <f t="shared" si="1"/>
        <v>1</v>
      </c>
    </row>
    <row r="24" spans="1:6" ht="33" customHeight="1">
      <c r="A24" s="29" t="s">
        <v>13</v>
      </c>
      <c r="B24" s="35" t="s">
        <v>167</v>
      </c>
      <c r="C24" s="81">
        <v>24800</v>
      </c>
      <c r="D24" s="25">
        <f t="shared" si="2"/>
        <v>24800</v>
      </c>
      <c r="E24" s="96" t="str">
        <f t="shared" si="0"/>
        <v>-</v>
      </c>
      <c r="F24" s="97">
        <f t="shared" si="1"/>
        <v>1</v>
      </c>
    </row>
    <row r="25" spans="1:6" ht="33" customHeight="1">
      <c r="A25" s="30" t="s">
        <v>14</v>
      </c>
      <c r="B25" s="78" t="s">
        <v>249</v>
      </c>
      <c r="C25" s="81">
        <f>SUM(C26:C28)</f>
        <v>228503</v>
      </c>
      <c r="D25" s="81">
        <f>SUM(D26:D28)</f>
        <v>228503</v>
      </c>
      <c r="E25" s="96" t="str">
        <f t="shared" si="0"/>
        <v>-</v>
      </c>
      <c r="F25" s="97">
        <f t="shared" si="1"/>
        <v>1</v>
      </c>
    </row>
    <row r="26" spans="1:6" ht="31.5">
      <c r="A26" s="28" t="s">
        <v>143</v>
      </c>
      <c r="B26" s="34" t="s">
        <v>170</v>
      </c>
      <c r="C26" s="81">
        <v>225303</v>
      </c>
      <c r="D26" s="25">
        <f t="shared" si="2"/>
        <v>225303</v>
      </c>
      <c r="E26" s="96" t="str">
        <f t="shared" si="0"/>
        <v>-</v>
      </c>
      <c r="F26" s="97">
        <f t="shared" si="1"/>
        <v>1</v>
      </c>
    </row>
    <row r="27" spans="1:6" ht="31.5" customHeight="1">
      <c r="A27" s="28" t="s">
        <v>169</v>
      </c>
      <c r="B27" s="34" t="s">
        <v>172</v>
      </c>
      <c r="C27" s="81">
        <v>2600</v>
      </c>
      <c r="D27" s="25">
        <f t="shared" si="2"/>
        <v>2600</v>
      </c>
      <c r="E27" s="96" t="str">
        <f t="shared" si="0"/>
        <v>-</v>
      </c>
      <c r="F27" s="97">
        <f t="shared" si="1"/>
        <v>1</v>
      </c>
    </row>
    <row r="28" spans="1:6" ht="31.5" customHeight="1">
      <c r="A28" s="28" t="s">
        <v>173</v>
      </c>
      <c r="B28" s="34" t="s">
        <v>171</v>
      </c>
      <c r="C28" s="81">
        <v>600</v>
      </c>
      <c r="D28" s="25">
        <f t="shared" si="2"/>
        <v>600</v>
      </c>
      <c r="E28" s="96" t="str">
        <f t="shared" si="0"/>
        <v>-</v>
      </c>
      <c r="F28" s="97">
        <f t="shared" si="1"/>
        <v>1</v>
      </c>
    </row>
    <row r="29" spans="1:6" ht="33" customHeight="1">
      <c r="A29" s="31" t="s">
        <v>15</v>
      </c>
      <c r="B29" s="36" t="s">
        <v>122</v>
      </c>
      <c r="C29" s="81">
        <v>0</v>
      </c>
      <c r="D29" s="25">
        <f t="shared" si="2"/>
        <v>0</v>
      </c>
      <c r="E29" s="96" t="str">
        <f t="shared" si="0"/>
        <v>-</v>
      </c>
      <c r="F29" s="97" t="str">
        <f t="shared" si="1"/>
        <v>-</v>
      </c>
    </row>
    <row r="30" spans="1:6" ht="33" customHeight="1">
      <c r="A30" s="31" t="s">
        <v>119</v>
      </c>
      <c r="B30" s="37" t="s">
        <v>174</v>
      </c>
      <c r="C30" s="81">
        <v>0</v>
      </c>
      <c r="D30" s="25">
        <f t="shared" si="2"/>
        <v>0</v>
      </c>
      <c r="E30" s="96" t="str">
        <f t="shared" si="0"/>
        <v>-</v>
      </c>
      <c r="F30" s="97" t="str">
        <f t="shared" si="1"/>
        <v>-</v>
      </c>
    </row>
    <row r="31" spans="1:6" ht="31.5" customHeight="1">
      <c r="A31" s="28" t="s">
        <v>175</v>
      </c>
      <c r="B31" s="34" t="s">
        <v>187</v>
      </c>
      <c r="C31" s="81">
        <v>0</v>
      </c>
      <c r="D31" s="25">
        <f t="shared" si="2"/>
        <v>0</v>
      </c>
      <c r="E31" s="96" t="str">
        <f t="shared" si="0"/>
        <v>-</v>
      </c>
      <c r="F31" s="97" t="str">
        <f t="shared" si="1"/>
        <v>-</v>
      </c>
    </row>
    <row r="32" spans="1:6" ht="33" customHeight="1">
      <c r="A32" s="31" t="s">
        <v>120</v>
      </c>
      <c r="B32" s="37" t="s">
        <v>123</v>
      </c>
      <c r="C32" s="81">
        <v>0</v>
      </c>
      <c r="D32" s="25">
        <f t="shared" si="2"/>
        <v>0</v>
      </c>
      <c r="E32" s="96" t="str">
        <f t="shared" si="0"/>
        <v>-</v>
      </c>
      <c r="F32" s="97" t="str">
        <f t="shared" si="1"/>
        <v>-</v>
      </c>
    </row>
    <row r="33" spans="1:6" ht="33" customHeight="1">
      <c r="A33" s="31" t="s">
        <v>121</v>
      </c>
      <c r="B33" s="37" t="s">
        <v>186</v>
      </c>
      <c r="C33" s="81">
        <v>5207</v>
      </c>
      <c r="D33" s="25">
        <f t="shared" si="2"/>
        <v>5207</v>
      </c>
      <c r="E33" s="96" t="str">
        <f t="shared" si="0"/>
        <v>-</v>
      </c>
      <c r="F33" s="97">
        <f t="shared" si="1"/>
        <v>1</v>
      </c>
    </row>
    <row r="34" spans="1:6" ht="51.75" customHeight="1">
      <c r="A34" s="31" t="s">
        <v>246</v>
      </c>
      <c r="B34" s="37" t="s">
        <v>247</v>
      </c>
      <c r="C34" s="81">
        <v>0</v>
      </c>
      <c r="D34" s="25">
        <f>C34</f>
        <v>0</v>
      </c>
      <c r="E34" s="96" t="str">
        <f>IF(C34=D34,"-",D34-C34)</f>
        <v>-</v>
      </c>
      <c r="F34" s="97" t="str">
        <f>IF(C34=0,"-",D34/C34)</f>
        <v>-</v>
      </c>
    </row>
    <row r="35" spans="1:6" s="5" customFormat="1" ht="31.5" customHeight="1">
      <c r="A35" s="32" t="s">
        <v>59</v>
      </c>
      <c r="B35" s="38" t="s">
        <v>60</v>
      </c>
      <c r="C35" s="84">
        <v>0</v>
      </c>
      <c r="D35" s="92">
        <f>C35</f>
        <v>0</v>
      </c>
      <c r="E35" s="15" t="str">
        <f t="shared" si="0"/>
        <v>-</v>
      </c>
      <c r="F35" s="98" t="str">
        <f t="shared" si="1"/>
        <v>-</v>
      </c>
    </row>
    <row r="36" spans="1:6" s="5" customFormat="1" ht="31.5" customHeight="1">
      <c r="A36" s="32" t="s">
        <v>58</v>
      </c>
      <c r="B36" s="38" t="s">
        <v>61</v>
      </c>
      <c r="C36" s="84">
        <v>69057</v>
      </c>
      <c r="D36" s="93">
        <f>C36</f>
        <v>69057</v>
      </c>
      <c r="E36" s="15" t="str">
        <f t="shared" si="0"/>
        <v>-</v>
      </c>
      <c r="F36" s="98">
        <f t="shared" si="1"/>
        <v>1</v>
      </c>
    </row>
    <row r="37" spans="1:6" s="5" customFormat="1" ht="42.75" customHeight="1">
      <c r="A37" s="32" t="s">
        <v>176</v>
      </c>
      <c r="B37" s="38" t="s">
        <v>177</v>
      </c>
      <c r="C37" s="84">
        <v>320115</v>
      </c>
      <c r="D37" s="84">
        <f>D12+D14+D25+D31</f>
        <v>320115</v>
      </c>
      <c r="E37" s="15" t="str">
        <f t="shared" si="0"/>
        <v>-</v>
      </c>
      <c r="F37" s="98">
        <f t="shared" si="1"/>
        <v>1</v>
      </c>
    </row>
    <row r="38" spans="1:6" s="3" customFormat="1" ht="30" customHeight="1">
      <c r="A38" s="26" t="s">
        <v>16</v>
      </c>
      <c r="B38" s="46" t="s">
        <v>250</v>
      </c>
      <c r="C38" s="24">
        <f>C39+C40+C41+C49+C51+C57+C58+C56</f>
        <v>14740</v>
      </c>
      <c r="D38" s="24">
        <f>D39+D40+D41+D49+D51+D57+D58+D56</f>
        <v>14740</v>
      </c>
      <c r="E38" s="13" t="str">
        <f t="shared" si="0"/>
        <v>-</v>
      </c>
      <c r="F38" s="99">
        <f t="shared" si="1"/>
        <v>1</v>
      </c>
    </row>
    <row r="39" spans="1:6" ht="28.5" customHeight="1">
      <c r="A39" s="31" t="s">
        <v>17</v>
      </c>
      <c r="B39" s="40" t="s">
        <v>18</v>
      </c>
      <c r="C39" s="81">
        <v>667</v>
      </c>
      <c r="D39" s="85">
        <f>C39</f>
        <v>667</v>
      </c>
      <c r="E39" s="96" t="str">
        <f t="shared" si="0"/>
        <v>-</v>
      </c>
      <c r="F39" s="97">
        <f t="shared" si="1"/>
        <v>1</v>
      </c>
    </row>
    <row r="40" spans="1:6" ht="28.5" customHeight="1">
      <c r="A40" s="31" t="s">
        <v>19</v>
      </c>
      <c r="B40" s="40" t="s">
        <v>20</v>
      </c>
      <c r="C40" s="81">
        <v>1022</v>
      </c>
      <c r="D40" s="85">
        <f>C40</f>
        <v>1022</v>
      </c>
      <c r="E40" s="96" t="str">
        <f t="shared" si="0"/>
        <v>-</v>
      </c>
      <c r="F40" s="97">
        <f t="shared" si="1"/>
        <v>1</v>
      </c>
    </row>
    <row r="41" spans="1:6" ht="28.5" customHeight="1">
      <c r="A41" s="31" t="s">
        <v>21</v>
      </c>
      <c r="B41" s="41" t="s">
        <v>251</v>
      </c>
      <c r="C41" s="85">
        <f>C42+C44+C45+C46+C47+C48</f>
        <v>229</v>
      </c>
      <c r="D41" s="85">
        <f>D42+D44+D45+D46+D47+D48</f>
        <v>229</v>
      </c>
      <c r="E41" s="96" t="str">
        <f t="shared" si="0"/>
        <v>-</v>
      </c>
      <c r="F41" s="97">
        <f t="shared" si="1"/>
        <v>1</v>
      </c>
    </row>
    <row r="42" spans="1:6" ht="28.5" customHeight="1">
      <c r="A42" s="42" t="s">
        <v>39</v>
      </c>
      <c r="B42" s="43" t="s">
        <v>32</v>
      </c>
      <c r="C42" s="81">
        <v>18</v>
      </c>
      <c r="D42" s="85">
        <f>C42</f>
        <v>18</v>
      </c>
      <c r="E42" s="96" t="str">
        <f t="shared" si="0"/>
        <v>-</v>
      </c>
      <c r="F42" s="97">
        <f t="shared" si="1"/>
        <v>1</v>
      </c>
    </row>
    <row r="43" spans="1:6" ht="28.5" customHeight="1">
      <c r="A43" s="42" t="s">
        <v>40</v>
      </c>
      <c r="B43" s="44" t="s">
        <v>33</v>
      </c>
      <c r="C43" s="81">
        <v>18</v>
      </c>
      <c r="D43" s="85">
        <f aca="true" t="shared" si="3" ref="D43:D55">C43</f>
        <v>18</v>
      </c>
      <c r="E43" s="96" t="str">
        <f t="shared" si="0"/>
        <v>-</v>
      </c>
      <c r="F43" s="97">
        <f t="shared" si="1"/>
        <v>1</v>
      </c>
    </row>
    <row r="44" spans="1:6" ht="28.5" customHeight="1">
      <c r="A44" s="42" t="s">
        <v>41</v>
      </c>
      <c r="B44" s="43" t="s">
        <v>34</v>
      </c>
      <c r="C44" s="81">
        <v>50</v>
      </c>
      <c r="D44" s="85">
        <f t="shared" si="3"/>
        <v>50</v>
      </c>
      <c r="E44" s="96" t="str">
        <f t="shared" si="0"/>
        <v>-</v>
      </c>
      <c r="F44" s="97">
        <f t="shared" si="1"/>
        <v>1</v>
      </c>
    </row>
    <row r="45" spans="1:6" ht="28.5" customHeight="1">
      <c r="A45" s="42" t="s">
        <v>42</v>
      </c>
      <c r="B45" s="43" t="s">
        <v>35</v>
      </c>
      <c r="C45" s="81">
        <v>0</v>
      </c>
      <c r="D45" s="85">
        <f t="shared" si="3"/>
        <v>0</v>
      </c>
      <c r="E45" s="96" t="str">
        <f t="shared" si="0"/>
        <v>-</v>
      </c>
      <c r="F45" s="97" t="str">
        <f t="shared" si="1"/>
        <v>-</v>
      </c>
    </row>
    <row r="46" spans="1:6" ht="28.5" customHeight="1">
      <c r="A46" s="42" t="s">
        <v>43</v>
      </c>
      <c r="B46" s="43" t="s">
        <v>36</v>
      </c>
      <c r="C46" s="81">
        <v>0</v>
      </c>
      <c r="D46" s="85">
        <f t="shared" si="3"/>
        <v>0</v>
      </c>
      <c r="E46" s="96" t="str">
        <f t="shared" si="0"/>
        <v>-</v>
      </c>
      <c r="F46" s="97" t="str">
        <f t="shared" si="1"/>
        <v>-</v>
      </c>
    </row>
    <row r="47" spans="1:6" ht="28.5" customHeight="1">
      <c r="A47" s="42" t="s">
        <v>44</v>
      </c>
      <c r="B47" s="43" t="s">
        <v>37</v>
      </c>
      <c r="C47" s="81">
        <v>155</v>
      </c>
      <c r="D47" s="85">
        <f t="shared" si="3"/>
        <v>155</v>
      </c>
      <c r="E47" s="96" t="str">
        <f t="shared" si="0"/>
        <v>-</v>
      </c>
      <c r="F47" s="97">
        <f t="shared" si="1"/>
        <v>1</v>
      </c>
    </row>
    <row r="48" spans="1:6" ht="28.5" customHeight="1">
      <c r="A48" s="42" t="s">
        <v>45</v>
      </c>
      <c r="B48" s="43" t="s">
        <v>38</v>
      </c>
      <c r="C48" s="81">
        <v>6</v>
      </c>
      <c r="D48" s="85">
        <f>C48</f>
        <v>6</v>
      </c>
      <c r="E48" s="96" t="str">
        <f t="shared" si="0"/>
        <v>-</v>
      </c>
      <c r="F48" s="97">
        <f t="shared" si="1"/>
        <v>1</v>
      </c>
    </row>
    <row r="49" spans="1:6" ht="28.5" customHeight="1">
      <c r="A49" s="31" t="s">
        <v>22</v>
      </c>
      <c r="B49" s="40" t="s">
        <v>178</v>
      </c>
      <c r="C49" s="81">
        <v>9427</v>
      </c>
      <c r="D49" s="85">
        <f>C49</f>
        <v>9427</v>
      </c>
      <c r="E49" s="96" t="str">
        <f t="shared" si="0"/>
        <v>-</v>
      </c>
      <c r="F49" s="97">
        <f t="shared" si="1"/>
        <v>1</v>
      </c>
    </row>
    <row r="50" spans="1:6" ht="28.5" customHeight="1">
      <c r="A50" s="42" t="s">
        <v>179</v>
      </c>
      <c r="B50" s="43" t="s">
        <v>180</v>
      </c>
      <c r="C50" s="81">
        <v>21</v>
      </c>
      <c r="D50" s="85">
        <f>C50</f>
        <v>21</v>
      </c>
      <c r="E50" s="96" t="str">
        <f t="shared" si="0"/>
        <v>-</v>
      </c>
      <c r="F50" s="97">
        <f t="shared" si="1"/>
        <v>1</v>
      </c>
    </row>
    <row r="51" spans="1:6" ht="28.5" customHeight="1">
      <c r="A51" s="31" t="s">
        <v>23</v>
      </c>
      <c r="B51" s="41" t="s">
        <v>252</v>
      </c>
      <c r="C51" s="77">
        <f>C52+C53+C54+C55</f>
        <v>2096</v>
      </c>
      <c r="D51" s="77">
        <f>D52+D53+D54+D55</f>
        <v>2096</v>
      </c>
      <c r="E51" s="96" t="str">
        <f t="shared" si="0"/>
        <v>-</v>
      </c>
      <c r="F51" s="97">
        <f t="shared" si="1"/>
        <v>1</v>
      </c>
    </row>
    <row r="52" spans="1:6" ht="28.5" customHeight="1">
      <c r="A52" s="42" t="s">
        <v>50</v>
      </c>
      <c r="B52" s="43" t="s">
        <v>46</v>
      </c>
      <c r="C52" s="81">
        <v>1580</v>
      </c>
      <c r="D52" s="85">
        <f t="shared" si="3"/>
        <v>1580</v>
      </c>
      <c r="E52" s="96" t="str">
        <f t="shared" si="0"/>
        <v>-</v>
      </c>
      <c r="F52" s="97">
        <f t="shared" si="1"/>
        <v>1</v>
      </c>
    </row>
    <row r="53" spans="1:6" ht="28.5" customHeight="1">
      <c r="A53" s="42" t="s">
        <v>51</v>
      </c>
      <c r="B53" s="43" t="s">
        <v>47</v>
      </c>
      <c r="C53" s="81">
        <v>231</v>
      </c>
      <c r="D53" s="85">
        <f t="shared" si="3"/>
        <v>231</v>
      </c>
      <c r="E53" s="96" t="str">
        <f t="shared" si="0"/>
        <v>-</v>
      </c>
      <c r="F53" s="97">
        <f t="shared" si="1"/>
        <v>1</v>
      </c>
    </row>
    <row r="54" spans="1:6" ht="28.5" customHeight="1">
      <c r="A54" s="42" t="s">
        <v>52</v>
      </c>
      <c r="B54" s="43" t="s">
        <v>48</v>
      </c>
      <c r="C54" s="81">
        <v>0</v>
      </c>
      <c r="D54" s="85">
        <f t="shared" si="3"/>
        <v>0</v>
      </c>
      <c r="E54" s="96" t="str">
        <f t="shared" si="0"/>
        <v>-</v>
      </c>
      <c r="F54" s="97" t="str">
        <f t="shared" si="1"/>
        <v>-</v>
      </c>
    </row>
    <row r="55" spans="1:6" ht="28.5" customHeight="1">
      <c r="A55" s="42" t="s">
        <v>53</v>
      </c>
      <c r="B55" s="43" t="s">
        <v>49</v>
      </c>
      <c r="C55" s="81">
        <v>285</v>
      </c>
      <c r="D55" s="85">
        <f t="shared" si="3"/>
        <v>285</v>
      </c>
      <c r="E55" s="96" t="str">
        <f t="shared" si="0"/>
        <v>-</v>
      </c>
      <c r="F55" s="97">
        <f t="shared" si="1"/>
        <v>1</v>
      </c>
    </row>
    <row r="56" spans="1:6" ht="28.5" customHeight="1">
      <c r="A56" s="31" t="s">
        <v>24</v>
      </c>
      <c r="B56" s="40" t="s">
        <v>25</v>
      </c>
      <c r="C56" s="81">
        <v>0</v>
      </c>
      <c r="D56" s="85">
        <f>C56</f>
        <v>0</v>
      </c>
      <c r="E56" s="96" t="str">
        <f t="shared" si="0"/>
        <v>-</v>
      </c>
      <c r="F56" s="97" t="str">
        <f t="shared" si="1"/>
        <v>-</v>
      </c>
    </row>
    <row r="57" spans="1:6" ht="28.5" customHeight="1">
      <c r="A57" s="31" t="s">
        <v>26</v>
      </c>
      <c r="B57" s="40" t="s">
        <v>181</v>
      </c>
      <c r="C57" s="81">
        <v>1044</v>
      </c>
      <c r="D57" s="85">
        <f>C57</f>
        <v>1044</v>
      </c>
      <c r="E57" s="96" t="str">
        <f t="shared" si="0"/>
        <v>-</v>
      </c>
      <c r="F57" s="100">
        <f t="shared" si="1"/>
        <v>1</v>
      </c>
    </row>
    <row r="58" spans="1:6" ht="28.5" customHeight="1">
      <c r="A58" s="31" t="s">
        <v>27</v>
      </c>
      <c r="B58" s="40" t="s">
        <v>28</v>
      </c>
      <c r="C58" s="81">
        <v>255</v>
      </c>
      <c r="D58" s="85">
        <f>C58</f>
        <v>255</v>
      </c>
      <c r="E58" s="96" t="str">
        <f t="shared" si="0"/>
        <v>-</v>
      </c>
      <c r="F58" s="97">
        <f t="shared" si="1"/>
        <v>1</v>
      </c>
    </row>
    <row r="59" spans="1:6" s="3" customFormat="1" ht="30" customHeight="1">
      <c r="A59" s="33" t="s">
        <v>29</v>
      </c>
      <c r="B59" s="45" t="s">
        <v>182</v>
      </c>
      <c r="C59" s="27">
        <f>C60+C61+C62+C63</f>
        <v>1683</v>
      </c>
      <c r="D59" s="27">
        <f>D60+D61+D62+D63</f>
        <v>321</v>
      </c>
      <c r="E59" s="13">
        <f t="shared" si="0"/>
        <v>-1362</v>
      </c>
      <c r="F59" s="101">
        <f t="shared" si="1"/>
        <v>0.1907</v>
      </c>
    </row>
    <row r="60" spans="1:6" ht="42" customHeight="1">
      <c r="A60" s="31" t="s">
        <v>102</v>
      </c>
      <c r="B60" s="40" t="s">
        <v>124</v>
      </c>
      <c r="C60" s="81">
        <v>3</v>
      </c>
      <c r="D60" s="85">
        <f>C60-2</f>
        <v>1</v>
      </c>
      <c r="E60" s="77">
        <f t="shared" si="0"/>
        <v>-2</v>
      </c>
      <c r="F60" s="97">
        <f t="shared" si="1"/>
        <v>0.3333</v>
      </c>
    </row>
    <row r="61" spans="1:6" ht="31.5" customHeight="1">
      <c r="A61" s="31" t="s">
        <v>30</v>
      </c>
      <c r="B61" s="40" t="s">
        <v>56</v>
      </c>
      <c r="C61" s="81">
        <v>1440</v>
      </c>
      <c r="D61" s="85">
        <f>C61-1290</f>
        <v>150</v>
      </c>
      <c r="E61" s="77">
        <f t="shared" si="0"/>
        <v>-1290</v>
      </c>
      <c r="F61" s="97">
        <f t="shared" si="1"/>
        <v>0.1042</v>
      </c>
    </row>
    <row r="62" spans="1:6" ht="31.5" customHeight="1">
      <c r="A62" s="31" t="s">
        <v>31</v>
      </c>
      <c r="B62" s="40" t="s">
        <v>104</v>
      </c>
      <c r="C62" s="81">
        <v>0</v>
      </c>
      <c r="D62" s="85">
        <f>C62</f>
        <v>0</v>
      </c>
      <c r="E62" s="77" t="str">
        <f t="shared" si="0"/>
        <v>-</v>
      </c>
      <c r="F62" s="97" t="str">
        <f t="shared" si="1"/>
        <v>-</v>
      </c>
    </row>
    <row r="63" spans="1:6" ht="31.5" customHeight="1">
      <c r="A63" s="31" t="s">
        <v>103</v>
      </c>
      <c r="B63" s="40" t="s">
        <v>105</v>
      </c>
      <c r="C63" s="81">
        <v>240</v>
      </c>
      <c r="D63" s="85">
        <f>C63-70</f>
        <v>170</v>
      </c>
      <c r="E63" s="77">
        <f t="shared" si="0"/>
        <v>-70</v>
      </c>
      <c r="F63" s="97">
        <f t="shared" si="1"/>
        <v>0.7083</v>
      </c>
    </row>
    <row r="64" spans="1:6" ht="32.25" customHeight="1">
      <c r="A64" s="33" t="s">
        <v>110</v>
      </c>
      <c r="B64" s="45" t="s">
        <v>129</v>
      </c>
      <c r="C64" s="27">
        <v>372</v>
      </c>
      <c r="D64" s="27">
        <f>C64-307</f>
        <v>65</v>
      </c>
      <c r="E64" s="13">
        <f t="shared" si="0"/>
        <v>-307</v>
      </c>
      <c r="F64" s="101">
        <f t="shared" si="1"/>
        <v>0.1747</v>
      </c>
    </row>
  </sheetData>
  <sheetProtection formatCells="0" formatColumns="0" formatRows="0" insertColumns="0" insertRows="0" insertHyperlinks="0" deleteColumns="0" deleteRows="0"/>
  <mergeCells count="7">
    <mergeCell ref="F4:F5"/>
    <mergeCell ref="A1:F1"/>
    <mergeCell ref="A4:A5"/>
    <mergeCell ref="B4:B5"/>
    <mergeCell ref="C4:C5"/>
    <mergeCell ref="D4:D5"/>
    <mergeCell ref="E4:E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8" r:id="rId1"/>
  <headerFooter alignWithMargins="0">
    <oddFooter>&amp;R&amp;20&amp;P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showGridLines="0" view="pageBreakPreview" zoomScale="55" zoomScaleNormal="70" zoomScaleSheetLayoutView="55" zoomScalePageLayoutView="0" workbookViewId="0" topLeftCell="A1">
      <pane xSplit="2" ySplit="7" topLeftCell="C47" activePane="bottomRight" state="frozen"/>
      <selection pane="topLeft" activeCell="G1" sqref="G1:S65536"/>
      <selection pane="topRight" activeCell="G1" sqref="G1:S65536"/>
      <selection pane="bottomLeft" activeCell="G1" sqref="G1:S65536"/>
      <selection pane="bottomRight" activeCell="G1" sqref="G1:S65536"/>
    </sheetView>
  </sheetViews>
  <sheetFormatPr defaultColWidth="9.00390625" defaultRowHeight="12.75"/>
  <cols>
    <col min="1" max="1" width="9.125" style="2" customWidth="1"/>
    <col min="2" max="2" width="125.875" style="2" customWidth="1"/>
    <col min="3" max="3" width="25.75390625" style="2" customWidth="1"/>
    <col min="4" max="4" width="26.875" style="2" customWidth="1"/>
    <col min="5" max="5" width="25.125" style="2" customWidth="1"/>
    <col min="6" max="6" width="20.75390625" style="2" customWidth="1"/>
    <col min="7" max="16384" width="9.125" style="2" customWidth="1"/>
  </cols>
  <sheetData>
    <row r="1" spans="1:6" s="48" customFormat="1" ht="38.25" customHeight="1">
      <c r="A1" s="152" t="str">
        <f>NFZ!A1</f>
        <v>ZMIANA PLANU NARODOWEGO FUNDUSZU ZDROWIA NA 2014 R. Z DNIA 30 GRUDNIA 2014 R.</v>
      </c>
      <c r="B1" s="152"/>
      <c r="C1" s="152"/>
      <c r="D1" s="152"/>
      <c r="E1" s="152"/>
      <c r="F1" s="152"/>
    </row>
    <row r="2" spans="1:3" s="50" customFormat="1" ht="33" customHeight="1">
      <c r="A2" s="88" t="s">
        <v>72</v>
      </c>
      <c r="B2" s="88"/>
      <c r="C2" s="94"/>
    </row>
    <row r="3" spans="1:6" ht="33" customHeight="1">
      <c r="A3" s="8"/>
      <c r="B3" s="9"/>
      <c r="C3" s="87"/>
      <c r="D3" s="87"/>
      <c r="E3" s="87" t="s">
        <v>159</v>
      </c>
      <c r="F3" s="10"/>
    </row>
    <row r="4" spans="1:6" s="6" customFormat="1" ht="45" customHeight="1">
      <c r="A4" s="149" t="s">
        <v>132</v>
      </c>
      <c r="B4" s="149" t="s">
        <v>55</v>
      </c>
      <c r="C4" s="150" t="s">
        <v>236</v>
      </c>
      <c r="D4" s="150" t="s">
        <v>191</v>
      </c>
      <c r="E4" s="153" t="s">
        <v>192</v>
      </c>
      <c r="F4" s="153" t="s">
        <v>193</v>
      </c>
    </row>
    <row r="5" spans="1:6" s="6" customFormat="1" ht="45" customHeight="1">
      <c r="A5" s="149"/>
      <c r="B5" s="149"/>
      <c r="C5" s="151"/>
      <c r="D5" s="151"/>
      <c r="E5" s="153"/>
      <c r="F5" s="153"/>
    </row>
    <row r="6" spans="1:6" s="4" customFormat="1" ht="14.25">
      <c r="A6" s="47">
        <v>1</v>
      </c>
      <c r="B6" s="52">
        <v>2</v>
      </c>
      <c r="C6" s="47">
        <v>3</v>
      </c>
      <c r="D6" s="52">
        <v>4</v>
      </c>
      <c r="E6" s="47">
        <v>5</v>
      </c>
      <c r="F6" s="52">
        <v>6</v>
      </c>
    </row>
    <row r="7" spans="1:6" s="3" customFormat="1" ht="30" customHeight="1">
      <c r="A7" s="23" t="s">
        <v>0</v>
      </c>
      <c r="B7" s="39" t="s">
        <v>248</v>
      </c>
      <c r="C7" s="16">
        <f>C8+C9+C10+C15+C16+C17+C18+C19+C20+C21+C22+C23+C24+C25+C29+C30+C32+C33</f>
        <v>3684008</v>
      </c>
      <c r="D7" s="16">
        <f>D8+D9+D10+D15+D16+D17+D18+D19+D20+D21+D22+D23+D24+D25+D29+D30+D32+D33</f>
        <v>3687794</v>
      </c>
      <c r="E7" s="13">
        <f>IF(C7=D7,"-",D7-C7)</f>
        <v>3786</v>
      </c>
      <c r="F7" s="95">
        <f>IF(C7=0,"-",D7/C7)</f>
        <v>1.001</v>
      </c>
    </row>
    <row r="8" spans="1:6" ht="33" customHeight="1">
      <c r="A8" s="29" t="s">
        <v>1</v>
      </c>
      <c r="B8" s="35" t="s">
        <v>133</v>
      </c>
      <c r="C8" s="81">
        <v>455700</v>
      </c>
      <c r="D8" s="25">
        <f>C8</f>
        <v>455700</v>
      </c>
      <c r="E8" s="96" t="str">
        <f aca="true" t="shared" si="0" ref="E8:E64">IF(C8=D8,"-",D8-C8)</f>
        <v>-</v>
      </c>
      <c r="F8" s="97">
        <f aca="true" t="shared" si="1" ref="F8:F64">IF(C8=0,"-",D8/C8)</f>
        <v>1</v>
      </c>
    </row>
    <row r="9" spans="1:6" ht="33" customHeight="1">
      <c r="A9" s="29" t="s">
        <v>2</v>
      </c>
      <c r="B9" s="35" t="s">
        <v>134</v>
      </c>
      <c r="C9" s="81">
        <v>344189</v>
      </c>
      <c r="D9" s="25">
        <f aca="true" t="shared" si="2" ref="D9:D34">C9</f>
        <v>344189</v>
      </c>
      <c r="E9" s="96" t="str">
        <f t="shared" si="0"/>
        <v>-</v>
      </c>
      <c r="F9" s="97">
        <f t="shared" si="1"/>
        <v>1</v>
      </c>
    </row>
    <row r="10" spans="1:6" ht="33" customHeight="1">
      <c r="A10" s="29" t="s">
        <v>3</v>
      </c>
      <c r="B10" s="35" t="s">
        <v>131</v>
      </c>
      <c r="C10" s="81">
        <v>1739387</v>
      </c>
      <c r="D10" s="25">
        <f>C10+3786</f>
        <v>1743173</v>
      </c>
      <c r="E10" s="96">
        <f t="shared" si="0"/>
        <v>3786</v>
      </c>
      <c r="F10" s="97">
        <f t="shared" si="1"/>
        <v>1.0022</v>
      </c>
    </row>
    <row r="11" spans="1:6" ht="31.5" customHeight="1">
      <c r="A11" s="28" t="s">
        <v>57</v>
      </c>
      <c r="B11" s="34" t="s">
        <v>160</v>
      </c>
      <c r="C11" s="81">
        <v>130278</v>
      </c>
      <c r="D11" s="25">
        <f t="shared" si="2"/>
        <v>130278</v>
      </c>
      <c r="E11" s="96" t="str">
        <f t="shared" si="0"/>
        <v>-</v>
      </c>
      <c r="F11" s="97">
        <f t="shared" si="1"/>
        <v>1</v>
      </c>
    </row>
    <row r="12" spans="1:6" ht="31.5" customHeight="1">
      <c r="A12" s="28" t="s">
        <v>161</v>
      </c>
      <c r="B12" s="34" t="s">
        <v>164</v>
      </c>
      <c r="C12" s="81">
        <v>118856</v>
      </c>
      <c r="D12" s="25">
        <f t="shared" si="2"/>
        <v>118856</v>
      </c>
      <c r="E12" s="96" t="str">
        <f t="shared" si="0"/>
        <v>-</v>
      </c>
      <c r="F12" s="97">
        <f t="shared" si="1"/>
        <v>1</v>
      </c>
    </row>
    <row r="13" spans="1:6" ht="31.5" customHeight="1">
      <c r="A13" s="28" t="s">
        <v>162</v>
      </c>
      <c r="B13" s="34" t="s">
        <v>165</v>
      </c>
      <c r="C13" s="81">
        <v>75739</v>
      </c>
      <c r="D13" s="25">
        <f t="shared" si="2"/>
        <v>75739</v>
      </c>
      <c r="E13" s="96" t="str">
        <f t="shared" si="0"/>
        <v>-</v>
      </c>
      <c r="F13" s="97">
        <f t="shared" si="1"/>
        <v>1</v>
      </c>
    </row>
    <row r="14" spans="1:6" ht="31.5" customHeight="1">
      <c r="A14" s="28" t="s">
        <v>163</v>
      </c>
      <c r="B14" s="34" t="s">
        <v>166</v>
      </c>
      <c r="C14" s="81">
        <v>36262</v>
      </c>
      <c r="D14" s="25">
        <f t="shared" si="2"/>
        <v>36262</v>
      </c>
      <c r="E14" s="96" t="str">
        <f t="shared" si="0"/>
        <v>-</v>
      </c>
      <c r="F14" s="97">
        <f t="shared" si="1"/>
        <v>1</v>
      </c>
    </row>
    <row r="15" spans="1:6" ht="33" customHeight="1">
      <c r="A15" s="29" t="s">
        <v>4</v>
      </c>
      <c r="B15" s="35" t="s">
        <v>139</v>
      </c>
      <c r="C15" s="81">
        <v>139438</v>
      </c>
      <c r="D15" s="25">
        <f t="shared" si="2"/>
        <v>139438</v>
      </c>
      <c r="E15" s="96" t="str">
        <f t="shared" si="0"/>
        <v>-</v>
      </c>
      <c r="F15" s="97">
        <f t="shared" si="1"/>
        <v>1</v>
      </c>
    </row>
    <row r="16" spans="1:6" ht="33" customHeight="1">
      <c r="A16" s="29" t="s">
        <v>5</v>
      </c>
      <c r="B16" s="35" t="s">
        <v>135</v>
      </c>
      <c r="C16" s="81">
        <v>113956</v>
      </c>
      <c r="D16" s="25">
        <f t="shared" si="2"/>
        <v>113956</v>
      </c>
      <c r="E16" s="96" t="str">
        <f t="shared" si="0"/>
        <v>-</v>
      </c>
      <c r="F16" s="97">
        <f t="shared" si="1"/>
        <v>1</v>
      </c>
    </row>
    <row r="17" spans="1:6" ht="33" customHeight="1">
      <c r="A17" s="29" t="s">
        <v>6</v>
      </c>
      <c r="B17" s="35" t="s">
        <v>141</v>
      </c>
      <c r="C17" s="81">
        <v>44618</v>
      </c>
      <c r="D17" s="25">
        <f t="shared" si="2"/>
        <v>44618</v>
      </c>
      <c r="E17" s="96" t="str">
        <f t="shared" si="0"/>
        <v>-</v>
      </c>
      <c r="F17" s="97">
        <f t="shared" si="1"/>
        <v>1</v>
      </c>
    </row>
    <row r="18" spans="1:6" ht="33" customHeight="1">
      <c r="A18" s="29" t="s">
        <v>7</v>
      </c>
      <c r="B18" s="35" t="s">
        <v>140</v>
      </c>
      <c r="C18" s="81">
        <v>22390</v>
      </c>
      <c r="D18" s="25">
        <f t="shared" si="2"/>
        <v>22390</v>
      </c>
      <c r="E18" s="96" t="str">
        <f t="shared" si="0"/>
        <v>-</v>
      </c>
      <c r="F18" s="97">
        <f t="shared" si="1"/>
        <v>1</v>
      </c>
    </row>
    <row r="19" spans="1:6" ht="33" customHeight="1">
      <c r="A19" s="29" t="s">
        <v>8</v>
      </c>
      <c r="B19" s="35" t="s">
        <v>136</v>
      </c>
      <c r="C19" s="81">
        <v>104334</v>
      </c>
      <c r="D19" s="25">
        <f t="shared" si="2"/>
        <v>104334</v>
      </c>
      <c r="E19" s="96" t="str">
        <f t="shared" si="0"/>
        <v>-</v>
      </c>
      <c r="F19" s="97">
        <f t="shared" si="1"/>
        <v>1</v>
      </c>
    </row>
    <row r="20" spans="1:6" ht="33" customHeight="1">
      <c r="A20" s="29" t="s">
        <v>9</v>
      </c>
      <c r="B20" s="35" t="s">
        <v>137</v>
      </c>
      <c r="C20" s="81">
        <v>26568</v>
      </c>
      <c r="D20" s="25">
        <f t="shared" si="2"/>
        <v>26568</v>
      </c>
      <c r="E20" s="96" t="str">
        <f t="shared" si="0"/>
        <v>-</v>
      </c>
      <c r="F20" s="97">
        <f t="shared" si="1"/>
        <v>1</v>
      </c>
    </row>
    <row r="21" spans="1:6" ht="33" customHeight="1">
      <c r="A21" s="29" t="s">
        <v>10</v>
      </c>
      <c r="B21" s="35" t="s">
        <v>142</v>
      </c>
      <c r="C21" s="81">
        <v>1460</v>
      </c>
      <c r="D21" s="25">
        <f t="shared" si="2"/>
        <v>1460</v>
      </c>
      <c r="E21" s="96" t="str">
        <f t="shared" si="0"/>
        <v>-</v>
      </c>
      <c r="F21" s="97">
        <f t="shared" si="1"/>
        <v>1</v>
      </c>
    </row>
    <row r="22" spans="1:6" ht="46.5" customHeight="1">
      <c r="A22" s="29" t="s">
        <v>11</v>
      </c>
      <c r="B22" s="35" t="s">
        <v>138</v>
      </c>
      <c r="C22" s="81">
        <v>9596</v>
      </c>
      <c r="D22" s="25">
        <f t="shared" si="2"/>
        <v>9596</v>
      </c>
      <c r="E22" s="96" t="str">
        <f t="shared" si="0"/>
        <v>-</v>
      </c>
      <c r="F22" s="97">
        <f t="shared" si="1"/>
        <v>1</v>
      </c>
    </row>
    <row r="23" spans="1:6" ht="33" customHeight="1">
      <c r="A23" s="29" t="s">
        <v>12</v>
      </c>
      <c r="B23" s="35" t="s">
        <v>185</v>
      </c>
      <c r="C23" s="81">
        <v>112204</v>
      </c>
      <c r="D23" s="25">
        <f t="shared" si="2"/>
        <v>112204</v>
      </c>
      <c r="E23" s="96" t="str">
        <f t="shared" si="0"/>
        <v>-</v>
      </c>
      <c r="F23" s="97">
        <f t="shared" si="1"/>
        <v>1</v>
      </c>
    </row>
    <row r="24" spans="1:6" ht="33" customHeight="1">
      <c r="A24" s="29" t="s">
        <v>13</v>
      </c>
      <c r="B24" s="35" t="s">
        <v>167</v>
      </c>
      <c r="C24" s="81">
        <v>50267</v>
      </c>
      <c r="D24" s="25">
        <f t="shared" si="2"/>
        <v>50267</v>
      </c>
      <c r="E24" s="96" t="str">
        <f t="shared" si="0"/>
        <v>-</v>
      </c>
      <c r="F24" s="97">
        <f t="shared" si="1"/>
        <v>1</v>
      </c>
    </row>
    <row r="25" spans="1:6" ht="33" customHeight="1">
      <c r="A25" s="30" t="s">
        <v>14</v>
      </c>
      <c r="B25" s="78" t="s">
        <v>249</v>
      </c>
      <c r="C25" s="81">
        <f>SUM(C26:C28)</f>
        <v>514000</v>
      </c>
      <c r="D25" s="81">
        <f>SUM(D26:D28)</f>
        <v>514000</v>
      </c>
      <c r="E25" s="96" t="str">
        <f t="shared" si="0"/>
        <v>-</v>
      </c>
      <c r="F25" s="97">
        <f t="shared" si="1"/>
        <v>1</v>
      </c>
    </row>
    <row r="26" spans="1:6" ht="31.5">
      <c r="A26" s="28" t="s">
        <v>143</v>
      </c>
      <c r="B26" s="34" t="s">
        <v>170</v>
      </c>
      <c r="C26" s="81">
        <v>513300</v>
      </c>
      <c r="D26" s="25">
        <f t="shared" si="2"/>
        <v>513300</v>
      </c>
      <c r="E26" s="96" t="str">
        <f t="shared" si="0"/>
        <v>-</v>
      </c>
      <c r="F26" s="97">
        <f t="shared" si="1"/>
        <v>1</v>
      </c>
    </row>
    <row r="27" spans="1:6" ht="31.5" customHeight="1">
      <c r="A27" s="28" t="s">
        <v>169</v>
      </c>
      <c r="B27" s="34" t="s">
        <v>172</v>
      </c>
      <c r="C27" s="81">
        <v>500</v>
      </c>
      <c r="D27" s="25">
        <f t="shared" si="2"/>
        <v>500</v>
      </c>
      <c r="E27" s="96" t="str">
        <f t="shared" si="0"/>
        <v>-</v>
      </c>
      <c r="F27" s="97">
        <f t="shared" si="1"/>
        <v>1</v>
      </c>
    </row>
    <row r="28" spans="1:6" ht="31.5" customHeight="1">
      <c r="A28" s="28" t="s">
        <v>173</v>
      </c>
      <c r="B28" s="34" t="s">
        <v>171</v>
      </c>
      <c r="C28" s="81">
        <v>200</v>
      </c>
      <c r="D28" s="25">
        <f t="shared" si="2"/>
        <v>200</v>
      </c>
      <c r="E28" s="96" t="str">
        <f t="shared" si="0"/>
        <v>-</v>
      </c>
      <c r="F28" s="97">
        <f t="shared" si="1"/>
        <v>1</v>
      </c>
    </row>
    <row r="29" spans="1:6" ht="33" customHeight="1">
      <c r="A29" s="31" t="s">
        <v>15</v>
      </c>
      <c r="B29" s="36" t="s">
        <v>122</v>
      </c>
      <c r="C29" s="81">
        <v>0</v>
      </c>
      <c r="D29" s="25">
        <f t="shared" si="2"/>
        <v>0</v>
      </c>
      <c r="E29" s="96" t="str">
        <f t="shared" si="0"/>
        <v>-</v>
      </c>
      <c r="F29" s="97" t="str">
        <f t="shared" si="1"/>
        <v>-</v>
      </c>
    </row>
    <row r="30" spans="1:6" ht="33" customHeight="1">
      <c r="A30" s="31" t="s">
        <v>119</v>
      </c>
      <c r="B30" s="37" t="s">
        <v>174</v>
      </c>
      <c r="C30" s="81">
        <v>0</v>
      </c>
      <c r="D30" s="25">
        <f t="shared" si="2"/>
        <v>0</v>
      </c>
      <c r="E30" s="96" t="str">
        <f t="shared" si="0"/>
        <v>-</v>
      </c>
      <c r="F30" s="97" t="str">
        <f t="shared" si="1"/>
        <v>-</v>
      </c>
    </row>
    <row r="31" spans="1:6" ht="31.5" customHeight="1">
      <c r="A31" s="28" t="s">
        <v>175</v>
      </c>
      <c r="B31" s="34" t="s">
        <v>187</v>
      </c>
      <c r="C31" s="81">
        <v>0</v>
      </c>
      <c r="D31" s="25">
        <f t="shared" si="2"/>
        <v>0</v>
      </c>
      <c r="E31" s="96" t="str">
        <f t="shared" si="0"/>
        <v>-</v>
      </c>
      <c r="F31" s="97" t="str">
        <f t="shared" si="1"/>
        <v>-</v>
      </c>
    </row>
    <row r="32" spans="1:6" ht="33" customHeight="1">
      <c r="A32" s="31" t="s">
        <v>120</v>
      </c>
      <c r="B32" s="37" t="s">
        <v>123</v>
      </c>
      <c r="C32" s="81">
        <v>0</v>
      </c>
      <c r="D32" s="25">
        <f t="shared" si="2"/>
        <v>0</v>
      </c>
      <c r="E32" s="96" t="str">
        <f t="shared" si="0"/>
        <v>-</v>
      </c>
      <c r="F32" s="97" t="str">
        <f t="shared" si="1"/>
        <v>-</v>
      </c>
    </row>
    <row r="33" spans="1:6" ht="33" customHeight="1">
      <c r="A33" s="31" t="s">
        <v>121</v>
      </c>
      <c r="B33" s="37" t="s">
        <v>186</v>
      </c>
      <c r="C33" s="81">
        <v>5901</v>
      </c>
      <c r="D33" s="25">
        <f t="shared" si="2"/>
        <v>5901</v>
      </c>
      <c r="E33" s="96" t="str">
        <f t="shared" si="0"/>
        <v>-</v>
      </c>
      <c r="F33" s="97">
        <f t="shared" si="1"/>
        <v>1</v>
      </c>
    </row>
    <row r="34" spans="1:6" ht="51.75" customHeight="1">
      <c r="A34" s="31" t="s">
        <v>246</v>
      </c>
      <c r="B34" s="37" t="s">
        <v>247</v>
      </c>
      <c r="C34" s="81">
        <v>0</v>
      </c>
      <c r="D34" s="25">
        <f t="shared" si="2"/>
        <v>0</v>
      </c>
      <c r="E34" s="96" t="str">
        <f>IF(C34=D34,"-",D34-C34)</f>
        <v>-</v>
      </c>
      <c r="F34" s="97" t="str">
        <f>IF(C34=0,"-",D34/C34)</f>
        <v>-</v>
      </c>
    </row>
    <row r="35" spans="1:6" s="5" customFormat="1" ht="31.5" customHeight="1">
      <c r="A35" s="32" t="s">
        <v>59</v>
      </c>
      <c r="B35" s="38" t="s">
        <v>60</v>
      </c>
      <c r="C35" s="84">
        <v>0</v>
      </c>
      <c r="D35" s="92">
        <f>C35</f>
        <v>0</v>
      </c>
      <c r="E35" s="15" t="str">
        <f t="shared" si="0"/>
        <v>-</v>
      </c>
      <c r="F35" s="98" t="str">
        <f t="shared" si="1"/>
        <v>-</v>
      </c>
    </row>
    <row r="36" spans="1:6" s="5" customFormat="1" ht="31.5" customHeight="1">
      <c r="A36" s="32" t="s">
        <v>58</v>
      </c>
      <c r="B36" s="38" t="s">
        <v>61</v>
      </c>
      <c r="C36" s="84">
        <v>103660</v>
      </c>
      <c r="D36" s="93">
        <f>C36</f>
        <v>103660</v>
      </c>
      <c r="E36" s="15" t="str">
        <f t="shared" si="0"/>
        <v>-</v>
      </c>
      <c r="F36" s="98">
        <f t="shared" si="1"/>
        <v>1</v>
      </c>
    </row>
    <row r="37" spans="1:6" s="5" customFormat="1" ht="42.75" customHeight="1">
      <c r="A37" s="32" t="s">
        <v>176</v>
      </c>
      <c r="B37" s="38" t="s">
        <v>177</v>
      </c>
      <c r="C37" s="84">
        <v>669118</v>
      </c>
      <c r="D37" s="84">
        <f>D12+D14+D25+D31</f>
        <v>669118</v>
      </c>
      <c r="E37" s="15" t="str">
        <f t="shared" si="0"/>
        <v>-</v>
      </c>
      <c r="F37" s="98">
        <f t="shared" si="1"/>
        <v>1</v>
      </c>
    </row>
    <row r="38" spans="1:6" s="3" customFormat="1" ht="30" customHeight="1">
      <c r="A38" s="26" t="s">
        <v>16</v>
      </c>
      <c r="B38" s="46" t="s">
        <v>250</v>
      </c>
      <c r="C38" s="24">
        <f>C39+C40+C41+C49+C51+C57+C58+C56</f>
        <v>33145</v>
      </c>
      <c r="D38" s="24">
        <f>D39+D40+D41+D49+D51+D57+D58+D56</f>
        <v>33145</v>
      </c>
      <c r="E38" s="13" t="str">
        <f t="shared" si="0"/>
        <v>-</v>
      </c>
      <c r="F38" s="99">
        <f t="shared" si="1"/>
        <v>1</v>
      </c>
    </row>
    <row r="39" spans="1:6" ht="28.5" customHeight="1">
      <c r="A39" s="31" t="s">
        <v>17</v>
      </c>
      <c r="B39" s="40" t="s">
        <v>18</v>
      </c>
      <c r="C39" s="81">
        <v>1795</v>
      </c>
      <c r="D39" s="85">
        <f>C39</f>
        <v>1795</v>
      </c>
      <c r="E39" s="96" t="str">
        <f t="shared" si="0"/>
        <v>-</v>
      </c>
      <c r="F39" s="97">
        <f t="shared" si="1"/>
        <v>1</v>
      </c>
    </row>
    <row r="40" spans="1:6" ht="28.5" customHeight="1">
      <c r="A40" s="31" t="s">
        <v>19</v>
      </c>
      <c r="B40" s="40" t="s">
        <v>20</v>
      </c>
      <c r="C40" s="81">
        <v>3186</v>
      </c>
      <c r="D40" s="85">
        <f>C40</f>
        <v>3186</v>
      </c>
      <c r="E40" s="96" t="str">
        <f t="shared" si="0"/>
        <v>-</v>
      </c>
      <c r="F40" s="97">
        <f t="shared" si="1"/>
        <v>1</v>
      </c>
    </row>
    <row r="41" spans="1:6" ht="28.5" customHeight="1">
      <c r="A41" s="31" t="s">
        <v>21</v>
      </c>
      <c r="B41" s="41" t="s">
        <v>251</v>
      </c>
      <c r="C41" s="85">
        <f>C42+C44+C45+C46+C47+C48</f>
        <v>287</v>
      </c>
      <c r="D41" s="85">
        <f>D42+D44+D45+D46+D47+D48</f>
        <v>287</v>
      </c>
      <c r="E41" s="96" t="str">
        <f t="shared" si="0"/>
        <v>-</v>
      </c>
      <c r="F41" s="97">
        <f t="shared" si="1"/>
        <v>1</v>
      </c>
    </row>
    <row r="42" spans="1:6" ht="28.5" customHeight="1">
      <c r="A42" s="42" t="s">
        <v>39</v>
      </c>
      <c r="B42" s="43" t="s">
        <v>32</v>
      </c>
      <c r="C42" s="81">
        <v>48</v>
      </c>
      <c r="D42" s="85">
        <f>C42</f>
        <v>48</v>
      </c>
      <c r="E42" s="96" t="str">
        <f t="shared" si="0"/>
        <v>-</v>
      </c>
      <c r="F42" s="97">
        <f t="shared" si="1"/>
        <v>1</v>
      </c>
    </row>
    <row r="43" spans="1:6" ht="28.5" customHeight="1">
      <c r="A43" s="42" t="s">
        <v>40</v>
      </c>
      <c r="B43" s="44" t="s">
        <v>33</v>
      </c>
      <c r="C43" s="81">
        <v>48</v>
      </c>
      <c r="D43" s="85">
        <f aca="true" t="shared" si="3" ref="D43:D55">C43</f>
        <v>48</v>
      </c>
      <c r="E43" s="96" t="str">
        <f t="shared" si="0"/>
        <v>-</v>
      </c>
      <c r="F43" s="97">
        <f t="shared" si="1"/>
        <v>1</v>
      </c>
    </row>
    <row r="44" spans="1:6" ht="28.5" customHeight="1">
      <c r="A44" s="42" t="s">
        <v>41</v>
      </c>
      <c r="B44" s="43" t="s">
        <v>34</v>
      </c>
      <c r="C44" s="81">
        <v>0</v>
      </c>
      <c r="D44" s="85">
        <f t="shared" si="3"/>
        <v>0</v>
      </c>
      <c r="E44" s="96" t="str">
        <f t="shared" si="0"/>
        <v>-</v>
      </c>
      <c r="F44" s="97" t="str">
        <f t="shared" si="1"/>
        <v>-</v>
      </c>
    </row>
    <row r="45" spans="1:6" ht="28.5" customHeight="1">
      <c r="A45" s="42" t="s">
        <v>42</v>
      </c>
      <c r="B45" s="43" t="s">
        <v>35</v>
      </c>
      <c r="C45" s="81">
        <v>6</v>
      </c>
      <c r="D45" s="85">
        <f t="shared" si="3"/>
        <v>6</v>
      </c>
      <c r="E45" s="96" t="str">
        <f t="shared" si="0"/>
        <v>-</v>
      </c>
      <c r="F45" s="97">
        <f t="shared" si="1"/>
        <v>1</v>
      </c>
    </row>
    <row r="46" spans="1:6" ht="28.5" customHeight="1">
      <c r="A46" s="42" t="s">
        <v>43</v>
      </c>
      <c r="B46" s="43" t="s">
        <v>36</v>
      </c>
      <c r="C46" s="81">
        <v>0</v>
      </c>
      <c r="D46" s="85">
        <f t="shared" si="3"/>
        <v>0</v>
      </c>
      <c r="E46" s="96" t="str">
        <f t="shared" si="0"/>
        <v>-</v>
      </c>
      <c r="F46" s="97" t="str">
        <f t="shared" si="1"/>
        <v>-</v>
      </c>
    </row>
    <row r="47" spans="1:6" ht="28.5" customHeight="1">
      <c r="A47" s="42" t="s">
        <v>44</v>
      </c>
      <c r="B47" s="43" t="s">
        <v>37</v>
      </c>
      <c r="C47" s="81">
        <v>189</v>
      </c>
      <c r="D47" s="85">
        <f t="shared" si="3"/>
        <v>189</v>
      </c>
      <c r="E47" s="96" t="str">
        <f t="shared" si="0"/>
        <v>-</v>
      </c>
      <c r="F47" s="97">
        <f t="shared" si="1"/>
        <v>1</v>
      </c>
    </row>
    <row r="48" spans="1:6" ht="28.5" customHeight="1">
      <c r="A48" s="42" t="s">
        <v>45</v>
      </c>
      <c r="B48" s="43" t="s">
        <v>38</v>
      </c>
      <c r="C48" s="81">
        <v>44</v>
      </c>
      <c r="D48" s="85">
        <f>C48</f>
        <v>44</v>
      </c>
      <c r="E48" s="96" t="str">
        <f t="shared" si="0"/>
        <v>-</v>
      </c>
      <c r="F48" s="97">
        <f t="shared" si="1"/>
        <v>1</v>
      </c>
    </row>
    <row r="49" spans="1:6" ht="28.5" customHeight="1">
      <c r="A49" s="31" t="s">
        <v>22</v>
      </c>
      <c r="B49" s="40" t="s">
        <v>178</v>
      </c>
      <c r="C49" s="81">
        <v>18335</v>
      </c>
      <c r="D49" s="85">
        <f>C49</f>
        <v>18335</v>
      </c>
      <c r="E49" s="96" t="str">
        <f t="shared" si="0"/>
        <v>-</v>
      </c>
      <c r="F49" s="97">
        <f t="shared" si="1"/>
        <v>1</v>
      </c>
    </row>
    <row r="50" spans="1:6" ht="28.5" customHeight="1">
      <c r="A50" s="42" t="s">
        <v>179</v>
      </c>
      <c r="B50" s="43" t="s">
        <v>180</v>
      </c>
      <c r="C50" s="81">
        <v>100</v>
      </c>
      <c r="D50" s="85">
        <f>C50</f>
        <v>100</v>
      </c>
      <c r="E50" s="96" t="str">
        <f t="shared" si="0"/>
        <v>-</v>
      </c>
      <c r="F50" s="97">
        <f t="shared" si="1"/>
        <v>1</v>
      </c>
    </row>
    <row r="51" spans="1:6" ht="28.5" customHeight="1">
      <c r="A51" s="31" t="s">
        <v>23</v>
      </c>
      <c r="B51" s="41" t="s">
        <v>252</v>
      </c>
      <c r="C51" s="77">
        <f>C52+C53+C54+C55</f>
        <v>4073</v>
      </c>
      <c r="D51" s="77">
        <f>D52+D53+D54+D55</f>
        <v>4073</v>
      </c>
      <c r="E51" s="96" t="str">
        <f t="shared" si="0"/>
        <v>-</v>
      </c>
      <c r="F51" s="97">
        <f t="shared" si="1"/>
        <v>1</v>
      </c>
    </row>
    <row r="52" spans="1:6" ht="28.5" customHeight="1">
      <c r="A52" s="42" t="s">
        <v>50</v>
      </c>
      <c r="B52" s="43" t="s">
        <v>46</v>
      </c>
      <c r="C52" s="81">
        <v>3152</v>
      </c>
      <c r="D52" s="85">
        <f t="shared" si="3"/>
        <v>3152</v>
      </c>
      <c r="E52" s="96" t="str">
        <f t="shared" si="0"/>
        <v>-</v>
      </c>
      <c r="F52" s="97">
        <f t="shared" si="1"/>
        <v>1</v>
      </c>
    </row>
    <row r="53" spans="1:6" ht="28.5" customHeight="1">
      <c r="A53" s="42" t="s">
        <v>51</v>
      </c>
      <c r="B53" s="43" t="s">
        <v>47</v>
      </c>
      <c r="C53" s="81">
        <v>449</v>
      </c>
      <c r="D53" s="85">
        <f t="shared" si="3"/>
        <v>449</v>
      </c>
      <c r="E53" s="96" t="str">
        <f t="shared" si="0"/>
        <v>-</v>
      </c>
      <c r="F53" s="97">
        <f t="shared" si="1"/>
        <v>1</v>
      </c>
    </row>
    <row r="54" spans="1:6" ht="28.5" customHeight="1">
      <c r="A54" s="42" t="s">
        <v>52</v>
      </c>
      <c r="B54" s="43" t="s">
        <v>48</v>
      </c>
      <c r="C54" s="81">
        <v>0</v>
      </c>
      <c r="D54" s="85">
        <f t="shared" si="3"/>
        <v>0</v>
      </c>
      <c r="E54" s="96" t="str">
        <f t="shared" si="0"/>
        <v>-</v>
      </c>
      <c r="F54" s="97" t="str">
        <f t="shared" si="1"/>
        <v>-</v>
      </c>
    </row>
    <row r="55" spans="1:6" ht="28.5" customHeight="1">
      <c r="A55" s="42" t="s">
        <v>53</v>
      </c>
      <c r="B55" s="43" t="s">
        <v>49</v>
      </c>
      <c r="C55" s="81">
        <v>472</v>
      </c>
      <c r="D55" s="85">
        <f t="shared" si="3"/>
        <v>472</v>
      </c>
      <c r="E55" s="96" t="str">
        <f t="shared" si="0"/>
        <v>-</v>
      </c>
      <c r="F55" s="97">
        <f t="shared" si="1"/>
        <v>1</v>
      </c>
    </row>
    <row r="56" spans="1:6" ht="28.5" customHeight="1">
      <c r="A56" s="31" t="s">
        <v>24</v>
      </c>
      <c r="B56" s="40" t="s">
        <v>25</v>
      </c>
      <c r="C56" s="81">
        <v>0</v>
      </c>
      <c r="D56" s="85">
        <f>C56</f>
        <v>0</v>
      </c>
      <c r="E56" s="96" t="str">
        <f t="shared" si="0"/>
        <v>-</v>
      </c>
      <c r="F56" s="97" t="str">
        <f t="shared" si="1"/>
        <v>-</v>
      </c>
    </row>
    <row r="57" spans="1:6" ht="28.5" customHeight="1">
      <c r="A57" s="31" t="s">
        <v>26</v>
      </c>
      <c r="B57" s="40" t="s">
        <v>181</v>
      </c>
      <c r="C57" s="81">
        <v>5208</v>
      </c>
      <c r="D57" s="85">
        <f>C57</f>
        <v>5208</v>
      </c>
      <c r="E57" s="96" t="str">
        <f t="shared" si="0"/>
        <v>-</v>
      </c>
      <c r="F57" s="100">
        <f t="shared" si="1"/>
        <v>1</v>
      </c>
    </row>
    <row r="58" spans="1:6" ht="28.5" customHeight="1">
      <c r="A58" s="31" t="s">
        <v>27</v>
      </c>
      <c r="B58" s="40" t="s">
        <v>28</v>
      </c>
      <c r="C58" s="81">
        <v>261</v>
      </c>
      <c r="D58" s="85">
        <f>C58</f>
        <v>261</v>
      </c>
      <c r="E58" s="96" t="str">
        <f t="shared" si="0"/>
        <v>-</v>
      </c>
      <c r="F58" s="97">
        <f t="shared" si="1"/>
        <v>1</v>
      </c>
    </row>
    <row r="59" spans="1:6" s="3" customFormat="1" ht="30" customHeight="1">
      <c r="A59" s="33" t="s">
        <v>29</v>
      </c>
      <c r="B59" s="45" t="s">
        <v>182</v>
      </c>
      <c r="C59" s="27">
        <f>C60+C61+C62+C63</f>
        <v>13834</v>
      </c>
      <c r="D59" s="27">
        <f>D60+D61+D62+D63</f>
        <v>4300</v>
      </c>
      <c r="E59" s="13">
        <f t="shared" si="0"/>
        <v>-9534</v>
      </c>
      <c r="F59" s="101">
        <f t="shared" si="1"/>
        <v>0.3108</v>
      </c>
    </row>
    <row r="60" spans="1:6" ht="42" customHeight="1">
      <c r="A60" s="31" t="s">
        <v>102</v>
      </c>
      <c r="B60" s="40" t="s">
        <v>124</v>
      </c>
      <c r="C60" s="81">
        <v>69</v>
      </c>
      <c r="D60" s="85">
        <f>C60-34</f>
        <v>35</v>
      </c>
      <c r="E60" s="77">
        <f t="shared" si="0"/>
        <v>-34</v>
      </c>
      <c r="F60" s="97">
        <f t="shared" si="1"/>
        <v>0.5072</v>
      </c>
    </row>
    <row r="61" spans="1:6" ht="31.5" customHeight="1">
      <c r="A61" s="31" t="s">
        <v>30</v>
      </c>
      <c r="B61" s="40" t="s">
        <v>56</v>
      </c>
      <c r="C61" s="81">
        <v>9565</v>
      </c>
      <c r="D61" s="85">
        <f>C61-9500</f>
        <v>65</v>
      </c>
      <c r="E61" s="77">
        <f t="shared" si="0"/>
        <v>-9500</v>
      </c>
      <c r="F61" s="97">
        <f t="shared" si="1"/>
        <v>0.0068</v>
      </c>
    </row>
    <row r="62" spans="1:6" ht="31.5" customHeight="1">
      <c r="A62" s="31" t="s">
        <v>31</v>
      </c>
      <c r="B62" s="40" t="s">
        <v>104</v>
      </c>
      <c r="C62" s="81">
        <v>0</v>
      </c>
      <c r="D62" s="85">
        <f>C62</f>
        <v>0</v>
      </c>
      <c r="E62" s="77" t="str">
        <f t="shared" si="0"/>
        <v>-</v>
      </c>
      <c r="F62" s="97" t="str">
        <f t="shared" si="1"/>
        <v>-</v>
      </c>
    </row>
    <row r="63" spans="1:6" ht="31.5" customHeight="1">
      <c r="A63" s="31" t="s">
        <v>103</v>
      </c>
      <c r="B63" s="40" t="s">
        <v>105</v>
      </c>
      <c r="C63" s="81">
        <v>4200</v>
      </c>
      <c r="D63" s="85">
        <f>C63</f>
        <v>4200</v>
      </c>
      <c r="E63" s="77" t="str">
        <f t="shared" si="0"/>
        <v>-</v>
      </c>
      <c r="F63" s="97">
        <f t="shared" si="1"/>
        <v>1</v>
      </c>
    </row>
    <row r="64" spans="1:6" ht="32.25" customHeight="1">
      <c r="A64" s="33" t="s">
        <v>110</v>
      </c>
      <c r="B64" s="45" t="s">
        <v>129</v>
      </c>
      <c r="C64" s="27">
        <v>5562</v>
      </c>
      <c r="D64" s="27">
        <f>C64-3562</f>
        <v>2000</v>
      </c>
      <c r="E64" s="13">
        <f t="shared" si="0"/>
        <v>-3562</v>
      </c>
      <c r="F64" s="101">
        <f t="shared" si="1"/>
        <v>0.3596</v>
      </c>
    </row>
  </sheetData>
  <sheetProtection formatCells="0" formatColumns="0" formatRows="0" insertColumns="0" insertRows="0" insertHyperlinks="0" deleteColumns="0" deleteRows="0"/>
  <mergeCells count="7">
    <mergeCell ref="F4:F5"/>
    <mergeCell ref="A1:F1"/>
    <mergeCell ref="A4:A5"/>
    <mergeCell ref="B4:B5"/>
    <mergeCell ref="C4:C5"/>
    <mergeCell ref="D4:D5"/>
    <mergeCell ref="E4:E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8" r:id="rId1"/>
  <headerFooter alignWithMargins="0">
    <oddFooter>&amp;R&amp;20&amp;P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3"/>
  <sheetViews>
    <sheetView showGridLines="0" view="pageBreakPreview" zoomScale="55" zoomScaleNormal="70" zoomScaleSheetLayoutView="55" zoomScalePageLayoutView="0" workbookViewId="0" topLeftCell="A1">
      <pane xSplit="2" ySplit="7" topLeftCell="C47" activePane="bottomRight" state="frozen"/>
      <selection pane="topLeft" activeCell="G1" sqref="G1:S65536"/>
      <selection pane="topRight" activeCell="G1" sqref="G1:S65536"/>
      <selection pane="bottomLeft" activeCell="G1" sqref="G1:S65536"/>
      <selection pane="bottomRight" activeCell="G1" sqref="G1:S65536"/>
    </sheetView>
  </sheetViews>
  <sheetFormatPr defaultColWidth="9.00390625" defaultRowHeight="12.75"/>
  <cols>
    <col min="1" max="1" width="9.125" style="2" customWidth="1"/>
    <col min="2" max="2" width="125.875" style="2" customWidth="1"/>
    <col min="3" max="3" width="25.75390625" style="2" customWidth="1"/>
    <col min="4" max="4" width="26.875" style="2" customWidth="1"/>
    <col min="5" max="5" width="25.125" style="2" customWidth="1"/>
    <col min="6" max="6" width="20.75390625" style="2" customWidth="1"/>
    <col min="7" max="16384" width="9.125" style="2" customWidth="1"/>
  </cols>
  <sheetData>
    <row r="1" spans="1:6" s="48" customFormat="1" ht="38.25" customHeight="1">
      <c r="A1" s="152" t="str">
        <f>NFZ!A1</f>
        <v>ZMIANA PLANU NARODOWEGO FUNDUSZU ZDROWIA NA 2014 R. Z DNIA 30 GRUDNIA 2014 R.</v>
      </c>
      <c r="B1" s="152"/>
      <c r="C1" s="152"/>
      <c r="D1" s="152"/>
      <c r="E1" s="152"/>
      <c r="F1" s="152"/>
    </row>
    <row r="2" spans="1:3" s="50" customFormat="1" ht="33" customHeight="1">
      <c r="A2" s="88" t="s">
        <v>73</v>
      </c>
      <c r="B2" s="88"/>
      <c r="C2" s="94"/>
    </row>
    <row r="3" spans="1:6" ht="33" customHeight="1">
      <c r="A3" s="8"/>
      <c r="B3" s="9"/>
      <c r="C3" s="87"/>
      <c r="D3" s="87"/>
      <c r="E3" s="87" t="s">
        <v>159</v>
      </c>
      <c r="F3" s="10"/>
    </row>
    <row r="4" spans="1:6" s="6" customFormat="1" ht="45" customHeight="1">
      <c r="A4" s="149" t="s">
        <v>132</v>
      </c>
      <c r="B4" s="149" t="s">
        <v>55</v>
      </c>
      <c r="C4" s="150" t="s">
        <v>236</v>
      </c>
      <c r="D4" s="150" t="s">
        <v>191</v>
      </c>
      <c r="E4" s="153" t="s">
        <v>192</v>
      </c>
      <c r="F4" s="153" t="s">
        <v>193</v>
      </c>
    </row>
    <row r="5" spans="1:6" s="6" customFormat="1" ht="45" customHeight="1">
      <c r="A5" s="149"/>
      <c r="B5" s="149"/>
      <c r="C5" s="151"/>
      <c r="D5" s="151"/>
      <c r="E5" s="153"/>
      <c r="F5" s="153"/>
    </row>
    <row r="6" spans="1:6" s="4" customFormat="1" ht="14.25">
      <c r="A6" s="47">
        <v>1</v>
      </c>
      <c r="B6" s="52">
        <v>2</v>
      </c>
      <c r="C6" s="47">
        <v>3</v>
      </c>
      <c r="D6" s="52">
        <v>4</v>
      </c>
      <c r="E6" s="47">
        <v>5</v>
      </c>
      <c r="F6" s="52">
        <v>6</v>
      </c>
    </row>
    <row r="7" spans="1:6" s="3" customFormat="1" ht="30" customHeight="1">
      <c r="A7" s="23" t="s">
        <v>0</v>
      </c>
      <c r="B7" s="39" t="s">
        <v>248</v>
      </c>
      <c r="C7" s="16">
        <f>C8+C9+C10+C15+C16+C17+C18+C19+C20+C21+C22+C23+C24+C25+C29+C30+C32+C33</f>
        <v>7713025</v>
      </c>
      <c r="D7" s="16">
        <f>D8+D9+D10+D15+D16+D17+D18+D19+D20+D21+D22+D23+D24+D25+D29+D30+D32+D33</f>
        <v>7721183</v>
      </c>
      <c r="E7" s="13">
        <f>IF(C7=D7,"-",D7-C7)</f>
        <v>8158</v>
      </c>
      <c r="F7" s="95">
        <f>IF(C7=0,"-",D7/C7)</f>
        <v>1.001</v>
      </c>
    </row>
    <row r="8" spans="1:6" ht="33" customHeight="1">
      <c r="A8" s="29" t="s">
        <v>1</v>
      </c>
      <c r="B8" s="35" t="s">
        <v>133</v>
      </c>
      <c r="C8" s="81">
        <v>913414</v>
      </c>
      <c r="D8" s="25">
        <f>C8</f>
        <v>913414</v>
      </c>
      <c r="E8" s="96" t="str">
        <f aca="true" t="shared" si="0" ref="E8:E64">IF(C8=D8,"-",D8-C8)</f>
        <v>-</v>
      </c>
      <c r="F8" s="97">
        <f aca="true" t="shared" si="1" ref="F8:F64">IF(C8=0,"-",D8/C8)</f>
        <v>1</v>
      </c>
    </row>
    <row r="9" spans="1:6" ht="33" customHeight="1">
      <c r="A9" s="29" t="s">
        <v>2</v>
      </c>
      <c r="B9" s="35" t="s">
        <v>134</v>
      </c>
      <c r="C9" s="81">
        <v>752508</v>
      </c>
      <c r="D9" s="25">
        <f aca="true" t="shared" si="2" ref="D9:D34">C9</f>
        <v>752508</v>
      </c>
      <c r="E9" s="96" t="str">
        <f t="shared" si="0"/>
        <v>-</v>
      </c>
      <c r="F9" s="97">
        <f t="shared" si="1"/>
        <v>1</v>
      </c>
    </row>
    <row r="10" spans="1:6" ht="33" customHeight="1">
      <c r="A10" s="29" t="s">
        <v>3</v>
      </c>
      <c r="B10" s="35" t="s">
        <v>131</v>
      </c>
      <c r="C10" s="81">
        <v>3619905</v>
      </c>
      <c r="D10" s="25">
        <f>C10+6308</f>
        <v>3626213</v>
      </c>
      <c r="E10" s="96">
        <f t="shared" si="0"/>
        <v>6308</v>
      </c>
      <c r="F10" s="97">
        <f t="shared" si="1"/>
        <v>1.0017</v>
      </c>
    </row>
    <row r="11" spans="1:6" ht="31.5" customHeight="1">
      <c r="A11" s="28" t="s">
        <v>57</v>
      </c>
      <c r="B11" s="34" t="s">
        <v>160</v>
      </c>
      <c r="C11" s="81">
        <v>326031</v>
      </c>
      <c r="D11" s="25">
        <f t="shared" si="2"/>
        <v>326031</v>
      </c>
      <c r="E11" s="96" t="str">
        <f t="shared" si="0"/>
        <v>-</v>
      </c>
      <c r="F11" s="97">
        <f t="shared" si="1"/>
        <v>1</v>
      </c>
    </row>
    <row r="12" spans="1:6" ht="31.5" customHeight="1">
      <c r="A12" s="28" t="s">
        <v>161</v>
      </c>
      <c r="B12" s="34" t="s">
        <v>164</v>
      </c>
      <c r="C12" s="81">
        <v>298338</v>
      </c>
      <c r="D12" s="25">
        <f t="shared" si="2"/>
        <v>298338</v>
      </c>
      <c r="E12" s="96" t="str">
        <f t="shared" si="0"/>
        <v>-</v>
      </c>
      <c r="F12" s="97">
        <f t="shared" si="1"/>
        <v>1</v>
      </c>
    </row>
    <row r="13" spans="1:6" ht="31.5" customHeight="1">
      <c r="A13" s="28" t="s">
        <v>162</v>
      </c>
      <c r="B13" s="34" t="s">
        <v>165</v>
      </c>
      <c r="C13" s="81">
        <v>162923</v>
      </c>
      <c r="D13" s="25">
        <f t="shared" si="2"/>
        <v>162923</v>
      </c>
      <c r="E13" s="96" t="str">
        <f t="shared" si="0"/>
        <v>-</v>
      </c>
      <c r="F13" s="97">
        <f t="shared" si="1"/>
        <v>1</v>
      </c>
    </row>
    <row r="14" spans="1:6" ht="31.5" customHeight="1">
      <c r="A14" s="28" t="s">
        <v>163</v>
      </c>
      <c r="B14" s="34" t="s">
        <v>166</v>
      </c>
      <c r="C14" s="81">
        <v>63977</v>
      </c>
      <c r="D14" s="25">
        <f t="shared" si="2"/>
        <v>63977</v>
      </c>
      <c r="E14" s="96" t="str">
        <f t="shared" si="0"/>
        <v>-</v>
      </c>
      <c r="F14" s="97">
        <f t="shared" si="1"/>
        <v>1</v>
      </c>
    </row>
    <row r="15" spans="1:6" ht="33" customHeight="1">
      <c r="A15" s="29" t="s">
        <v>4</v>
      </c>
      <c r="B15" s="35" t="s">
        <v>139</v>
      </c>
      <c r="C15" s="81">
        <v>285885</v>
      </c>
      <c r="D15" s="25">
        <f t="shared" si="2"/>
        <v>285885</v>
      </c>
      <c r="E15" s="96" t="str">
        <f t="shared" si="0"/>
        <v>-</v>
      </c>
      <c r="F15" s="97">
        <f t="shared" si="1"/>
        <v>1</v>
      </c>
    </row>
    <row r="16" spans="1:6" ht="33" customHeight="1">
      <c r="A16" s="29" t="s">
        <v>5</v>
      </c>
      <c r="B16" s="35" t="s">
        <v>135</v>
      </c>
      <c r="C16" s="81">
        <v>240819</v>
      </c>
      <c r="D16" s="25">
        <f t="shared" si="2"/>
        <v>240819</v>
      </c>
      <c r="E16" s="96" t="str">
        <f t="shared" si="0"/>
        <v>-</v>
      </c>
      <c r="F16" s="97">
        <f t="shared" si="1"/>
        <v>1</v>
      </c>
    </row>
    <row r="17" spans="1:6" ht="33" customHeight="1">
      <c r="A17" s="29" t="s">
        <v>6</v>
      </c>
      <c r="B17" s="35" t="s">
        <v>141</v>
      </c>
      <c r="C17" s="81">
        <v>191144</v>
      </c>
      <c r="D17" s="25">
        <f t="shared" si="2"/>
        <v>191144</v>
      </c>
      <c r="E17" s="96" t="str">
        <f t="shared" si="0"/>
        <v>-</v>
      </c>
      <c r="F17" s="97">
        <f t="shared" si="1"/>
        <v>1</v>
      </c>
    </row>
    <row r="18" spans="1:6" ht="33" customHeight="1">
      <c r="A18" s="29" t="s">
        <v>7</v>
      </c>
      <c r="B18" s="35" t="s">
        <v>140</v>
      </c>
      <c r="C18" s="81">
        <v>46813</v>
      </c>
      <c r="D18" s="25">
        <f>C18+1850</f>
        <v>48663</v>
      </c>
      <c r="E18" s="96">
        <f t="shared" si="0"/>
        <v>1850</v>
      </c>
      <c r="F18" s="97">
        <f t="shared" si="1"/>
        <v>1.0395</v>
      </c>
    </row>
    <row r="19" spans="1:6" ht="33" customHeight="1">
      <c r="A19" s="29" t="s">
        <v>8</v>
      </c>
      <c r="B19" s="35" t="s">
        <v>136</v>
      </c>
      <c r="C19" s="81">
        <v>205198</v>
      </c>
      <c r="D19" s="25">
        <f t="shared" si="2"/>
        <v>205198</v>
      </c>
      <c r="E19" s="96" t="str">
        <f t="shared" si="0"/>
        <v>-</v>
      </c>
      <c r="F19" s="97">
        <f t="shared" si="1"/>
        <v>1</v>
      </c>
    </row>
    <row r="20" spans="1:6" ht="33" customHeight="1">
      <c r="A20" s="29" t="s">
        <v>9</v>
      </c>
      <c r="B20" s="35" t="s">
        <v>137</v>
      </c>
      <c r="C20" s="81">
        <v>70012</v>
      </c>
      <c r="D20" s="25">
        <f t="shared" si="2"/>
        <v>70012</v>
      </c>
      <c r="E20" s="96" t="str">
        <f t="shared" si="0"/>
        <v>-</v>
      </c>
      <c r="F20" s="97">
        <f t="shared" si="1"/>
        <v>1</v>
      </c>
    </row>
    <row r="21" spans="1:6" ht="33" customHeight="1">
      <c r="A21" s="29" t="s">
        <v>10</v>
      </c>
      <c r="B21" s="35" t="s">
        <v>142</v>
      </c>
      <c r="C21" s="81">
        <v>4683</v>
      </c>
      <c r="D21" s="25">
        <f t="shared" si="2"/>
        <v>4683</v>
      </c>
      <c r="E21" s="96" t="str">
        <f t="shared" si="0"/>
        <v>-</v>
      </c>
      <c r="F21" s="97">
        <f t="shared" si="1"/>
        <v>1</v>
      </c>
    </row>
    <row r="22" spans="1:6" ht="46.5" customHeight="1">
      <c r="A22" s="29" t="s">
        <v>11</v>
      </c>
      <c r="B22" s="35" t="s">
        <v>138</v>
      </c>
      <c r="C22" s="81">
        <v>28458</v>
      </c>
      <c r="D22" s="25">
        <f t="shared" si="2"/>
        <v>28458</v>
      </c>
      <c r="E22" s="96" t="str">
        <f t="shared" si="0"/>
        <v>-</v>
      </c>
      <c r="F22" s="97">
        <f t="shared" si="1"/>
        <v>1</v>
      </c>
    </row>
    <row r="23" spans="1:6" ht="33" customHeight="1">
      <c r="A23" s="29" t="s">
        <v>12</v>
      </c>
      <c r="B23" s="35" t="s">
        <v>185</v>
      </c>
      <c r="C23" s="81">
        <v>211604</v>
      </c>
      <c r="D23" s="25">
        <f t="shared" si="2"/>
        <v>211604</v>
      </c>
      <c r="E23" s="96" t="str">
        <f t="shared" si="0"/>
        <v>-</v>
      </c>
      <c r="F23" s="97">
        <f t="shared" si="1"/>
        <v>1</v>
      </c>
    </row>
    <row r="24" spans="1:6" ht="33" customHeight="1">
      <c r="A24" s="29" t="s">
        <v>13</v>
      </c>
      <c r="B24" s="35" t="s">
        <v>167</v>
      </c>
      <c r="C24" s="81">
        <v>111100</v>
      </c>
      <c r="D24" s="25">
        <f t="shared" si="2"/>
        <v>111100</v>
      </c>
      <c r="E24" s="96" t="str">
        <f t="shared" si="0"/>
        <v>-</v>
      </c>
      <c r="F24" s="97">
        <f t="shared" si="1"/>
        <v>1</v>
      </c>
    </row>
    <row r="25" spans="1:6" ht="33" customHeight="1">
      <c r="A25" s="30" t="s">
        <v>14</v>
      </c>
      <c r="B25" s="78" t="s">
        <v>249</v>
      </c>
      <c r="C25" s="81">
        <f>SUM(C26:C28)</f>
        <v>978210</v>
      </c>
      <c r="D25" s="81">
        <f>SUM(D26:D28)</f>
        <v>978210</v>
      </c>
      <c r="E25" s="96" t="str">
        <f t="shared" si="0"/>
        <v>-</v>
      </c>
      <c r="F25" s="97">
        <f t="shared" si="1"/>
        <v>1</v>
      </c>
    </row>
    <row r="26" spans="1:6" ht="31.5">
      <c r="A26" s="28" t="s">
        <v>143</v>
      </c>
      <c r="B26" s="34" t="s">
        <v>170</v>
      </c>
      <c r="C26" s="81">
        <v>976402</v>
      </c>
      <c r="D26" s="25">
        <f t="shared" si="2"/>
        <v>976402</v>
      </c>
      <c r="E26" s="96" t="str">
        <f t="shared" si="0"/>
        <v>-</v>
      </c>
      <c r="F26" s="97">
        <f t="shared" si="1"/>
        <v>1</v>
      </c>
    </row>
    <row r="27" spans="1:6" ht="31.5" customHeight="1">
      <c r="A27" s="28" t="s">
        <v>169</v>
      </c>
      <c r="B27" s="34" t="s">
        <v>172</v>
      </c>
      <c r="C27" s="81">
        <v>1558</v>
      </c>
      <c r="D27" s="25">
        <f t="shared" si="2"/>
        <v>1558</v>
      </c>
      <c r="E27" s="96" t="str">
        <f t="shared" si="0"/>
        <v>-</v>
      </c>
      <c r="F27" s="97">
        <f t="shared" si="1"/>
        <v>1</v>
      </c>
    </row>
    <row r="28" spans="1:6" ht="31.5" customHeight="1">
      <c r="A28" s="28" t="s">
        <v>173</v>
      </c>
      <c r="B28" s="34" t="s">
        <v>171</v>
      </c>
      <c r="C28" s="81">
        <v>250</v>
      </c>
      <c r="D28" s="25">
        <f t="shared" si="2"/>
        <v>250</v>
      </c>
      <c r="E28" s="96" t="str">
        <f t="shared" si="0"/>
        <v>-</v>
      </c>
      <c r="F28" s="97">
        <f t="shared" si="1"/>
        <v>1</v>
      </c>
    </row>
    <row r="29" spans="1:6" ht="33" customHeight="1">
      <c r="A29" s="31" t="s">
        <v>15</v>
      </c>
      <c r="B29" s="36" t="s">
        <v>122</v>
      </c>
      <c r="C29" s="81">
        <v>0</v>
      </c>
      <c r="D29" s="25">
        <f t="shared" si="2"/>
        <v>0</v>
      </c>
      <c r="E29" s="96" t="str">
        <f t="shared" si="0"/>
        <v>-</v>
      </c>
      <c r="F29" s="97" t="str">
        <f t="shared" si="1"/>
        <v>-</v>
      </c>
    </row>
    <row r="30" spans="1:6" ht="33" customHeight="1">
      <c r="A30" s="31" t="s">
        <v>119</v>
      </c>
      <c r="B30" s="37" t="s">
        <v>174</v>
      </c>
      <c r="C30" s="81">
        <v>0</v>
      </c>
      <c r="D30" s="25">
        <f t="shared" si="2"/>
        <v>0</v>
      </c>
      <c r="E30" s="96" t="str">
        <f t="shared" si="0"/>
        <v>-</v>
      </c>
      <c r="F30" s="97" t="str">
        <f t="shared" si="1"/>
        <v>-</v>
      </c>
    </row>
    <row r="31" spans="1:6" ht="31.5" customHeight="1">
      <c r="A31" s="28" t="s">
        <v>175</v>
      </c>
      <c r="B31" s="34" t="s">
        <v>187</v>
      </c>
      <c r="C31" s="81">
        <v>0</v>
      </c>
      <c r="D31" s="25">
        <f t="shared" si="2"/>
        <v>0</v>
      </c>
      <c r="E31" s="96" t="str">
        <f t="shared" si="0"/>
        <v>-</v>
      </c>
      <c r="F31" s="97" t="str">
        <f t="shared" si="1"/>
        <v>-</v>
      </c>
    </row>
    <row r="32" spans="1:6" ht="33" customHeight="1">
      <c r="A32" s="31" t="s">
        <v>120</v>
      </c>
      <c r="B32" s="37" t="s">
        <v>123</v>
      </c>
      <c r="C32" s="81">
        <v>0</v>
      </c>
      <c r="D32" s="25">
        <f t="shared" si="2"/>
        <v>0</v>
      </c>
      <c r="E32" s="96" t="str">
        <f t="shared" si="0"/>
        <v>-</v>
      </c>
      <c r="F32" s="97" t="str">
        <f t="shared" si="1"/>
        <v>-</v>
      </c>
    </row>
    <row r="33" spans="1:6" ht="33" customHeight="1">
      <c r="A33" s="31" t="s">
        <v>121</v>
      </c>
      <c r="B33" s="37" t="s">
        <v>186</v>
      </c>
      <c r="C33" s="81">
        <v>53272</v>
      </c>
      <c r="D33" s="25">
        <f t="shared" si="2"/>
        <v>53272</v>
      </c>
      <c r="E33" s="96" t="str">
        <f t="shared" si="0"/>
        <v>-</v>
      </c>
      <c r="F33" s="97">
        <f t="shared" si="1"/>
        <v>1</v>
      </c>
    </row>
    <row r="34" spans="1:6" ht="51.75" customHeight="1">
      <c r="A34" s="31" t="s">
        <v>246</v>
      </c>
      <c r="B34" s="37" t="s">
        <v>247</v>
      </c>
      <c r="C34" s="81">
        <v>0</v>
      </c>
      <c r="D34" s="25">
        <f t="shared" si="2"/>
        <v>0</v>
      </c>
      <c r="E34" s="96" t="str">
        <f>IF(C34=D34,"-",D34-C34)</f>
        <v>-</v>
      </c>
      <c r="F34" s="97" t="str">
        <f>IF(C34=0,"-",D34/C34)</f>
        <v>-</v>
      </c>
    </row>
    <row r="35" spans="1:6" s="5" customFormat="1" ht="31.5" customHeight="1">
      <c r="A35" s="32" t="s">
        <v>59</v>
      </c>
      <c r="B35" s="38" t="s">
        <v>60</v>
      </c>
      <c r="C35" s="84">
        <v>0</v>
      </c>
      <c r="D35" s="92">
        <f>C35</f>
        <v>0</v>
      </c>
      <c r="E35" s="15" t="str">
        <f t="shared" si="0"/>
        <v>-</v>
      </c>
      <c r="F35" s="98" t="str">
        <f t="shared" si="1"/>
        <v>-</v>
      </c>
    </row>
    <row r="36" spans="1:6" s="5" customFormat="1" ht="31.5" customHeight="1">
      <c r="A36" s="32" t="s">
        <v>58</v>
      </c>
      <c r="B36" s="38" t="s">
        <v>61</v>
      </c>
      <c r="C36" s="84">
        <v>199375</v>
      </c>
      <c r="D36" s="93">
        <f>C36</f>
        <v>199375</v>
      </c>
      <c r="E36" s="15" t="str">
        <f t="shared" si="0"/>
        <v>-</v>
      </c>
      <c r="F36" s="98">
        <f t="shared" si="1"/>
        <v>1</v>
      </c>
    </row>
    <row r="37" spans="1:6" s="5" customFormat="1" ht="42.75" customHeight="1">
      <c r="A37" s="32" t="s">
        <v>176</v>
      </c>
      <c r="B37" s="38" t="s">
        <v>177</v>
      </c>
      <c r="C37" s="84">
        <v>1340525</v>
      </c>
      <c r="D37" s="84">
        <f>D12+D14+D25+D31</f>
        <v>1340525</v>
      </c>
      <c r="E37" s="15" t="str">
        <f t="shared" si="0"/>
        <v>-</v>
      </c>
      <c r="F37" s="98">
        <f t="shared" si="1"/>
        <v>1</v>
      </c>
    </row>
    <row r="38" spans="1:6" s="3" customFormat="1" ht="30" customHeight="1">
      <c r="A38" s="26" t="s">
        <v>16</v>
      </c>
      <c r="B38" s="46" t="s">
        <v>250</v>
      </c>
      <c r="C38" s="24">
        <f>C39+C40+C41+C49+C51+C57+C58+C56</f>
        <v>61797</v>
      </c>
      <c r="D38" s="24">
        <f>D39+D40+D41+D49+D51+D57+D58+D56</f>
        <v>61797</v>
      </c>
      <c r="E38" s="13" t="str">
        <f t="shared" si="0"/>
        <v>-</v>
      </c>
      <c r="F38" s="99">
        <f t="shared" si="1"/>
        <v>1</v>
      </c>
    </row>
    <row r="39" spans="1:6" ht="28.5" customHeight="1">
      <c r="A39" s="31" t="s">
        <v>17</v>
      </c>
      <c r="B39" s="40" t="s">
        <v>18</v>
      </c>
      <c r="C39" s="81">
        <v>3954</v>
      </c>
      <c r="D39" s="85">
        <f>C39</f>
        <v>3954</v>
      </c>
      <c r="E39" s="96" t="str">
        <f t="shared" si="0"/>
        <v>-</v>
      </c>
      <c r="F39" s="97">
        <f t="shared" si="1"/>
        <v>1</v>
      </c>
    </row>
    <row r="40" spans="1:6" ht="28.5" customHeight="1">
      <c r="A40" s="31" t="s">
        <v>19</v>
      </c>
      <c r="B40" s="40" t="s">
        <v>20</v>
      </c>
      <c r="C40" s="81">
        <v>6444</v>
      </c>
      <c r="D40" s="85">
        <f aca="true" t="shared" si="3" ref="D40:D58">C40</f>
        <v>6444</v>
      </c>
      <c r="E40" s="96" t="str">
        <f t="shared" si="0"/>
        <v>-</v>
      </c>
      <c r="F40" s="97">
        <f t="shared" si="1"/>
        <v>1</v>
      </c>
    </row>
    <row r="41" spans="1:6" ht="28.5" customHeight="1">
      <c r="A41" s="31" t="s">
        <v>21</v>
      </c>
      <c r="B41" s="41" t="s">
        <v>251</v>
      </c>
      <c r="C41" s="85">
        <f>C42+C44+C45+C46+C47+C48</f>
        <v>719</v>
      </c>
      <c r="D41" s="85">
        <f>D42+D44+D45+D46+D47+D48</f>
        <v>719</v>
      </c>
      <c r="E41" s="96" t="str">
        <f t="shared" si="0"/>
        <v>-</v>
      </c>
      <c r="F41" s="97">
        <f t="shared" si="1"/>
        <v>1</v>
      </c>
    </row>
    <row r="42" spans="1:6" ht="28.5" customHeight="1">
      <c r="A42" s="42" t="s">
        <v>39</v>
      </c>
      <c r="B42" s="43" t="s">
        <v>32</v>
      </c>
      <c r="C42" s="81">
        <v>114</v>
      </c>
      <c r="D42" s="85">
        <f t="shared" si="3"/>
        <v>114</v>
      </c>
      <c r="E42" s="96" t="str">
        <f t="shared" si="0"/>
        <v>-</v>
      </c>
      <c r="F42" s="97">
        <f t="shared" si="1"/>
        <v>1</v>
      </c>
    </row>
    <row r="43" spans="1:6" ht="28.5" customHeight="1">
      <c r="A43" s="42" t="s">
        <v>40</v>
      </c>
      <c r="B43" s="44" t="s">
        <v>33</v>
      </c>
      <c r="C43" s="81">
        <v>114</v>
      </c>
      <c r="D43" s="85">
        <f t="shared" si="3"/>
        <v>114</v>
      </c>
      <c r="E43" s="96" t="str">
        <f t="shared" si="0"/>
        <v>-</v>
      </c>
      <c r="F43" s="97">
        <f t="shared" si="1"/>
        <v>1</v>
      </c>
    </row>
    <row r="44" spans="1:6" ht="28.5" customHeight="1">
      <c r="A44" s="42" t="s">
        <v>41</v>
      </c>
      <c r="B44" s="43" t="s">
        <v>34</v>
      </c>
      <c r="C44" s="81">
        <v>8</v>
      </c>
      <c r="D44" s="85">
        <f t="shared" si="3"/>
        <v>8</v>
      </c>
      <c r="E44" s="96" t="str">
        <f t="shared" si="0"/>
        <v>-</v>
      </c>
      <c r="F44" s="97">
        <f t="shared" si="1"/>
        <v>1</v>
      </c>
    </row>
    <row r="45" spans="1:6" ht="28.5" customHeight="1">
      <c r="A45" s="42" t="s">
        <v>42</v>
      </c>
      <c r="B45" s="43" t="s">
        <v>35</v>
      </c>
      <c r="C45" s="81">
        <v>8</v>
      </c>
      <c r="D45" s="85">
        <f t="shared" si="3"/>
        <v>8</v>
      </c>
      <c r="E45" s="96" t="str">
        <f t="shared" si="0"/>
        <v>-</v>
      </c>
      <c r="F45" s="97">
        <f t="shared" si="1"/>
        <v>1</v>
      </c>
    </row>
    <row r="46" spans="1:6" ht="28.5" customHeight="1">
      <c r="A46" s="42" t="s">
        <v>43</v>
      </c>
      <c r="B46" s="43" t="s">
        <v>36</v>
      </c>
      <c r="C46" s="81">
        <v>0</v>
      </c>
      <c r="D46" s="85">
        <f t="shared" si="3"/>
        <v>0</v>
      </c>
      <c r="E46" s="96" t="str">
        <f t="shared" si="0"/>
        <v>-</v>
      </c>
      <c r="F46" s="97" t="str">
        <f t="shared" si="1"/>
        <v>-</v>
      </c>
    </row>
    <row r="47" spans="1:6" ht="28.5" customHeight="1">
      <c r="A47" s="42" t="s">
        <v>44</v>
      </c>
      <c r="B47" s="43" t="s">
        <v>37</v>
      </c>
      <c r="C47" s="81">
        <v>572</v>
      </c>
      <c r="D47" s="85">
        <f t="shared" si="3"/>
        <v>572</v>
      </c>
      <c r="E47" s="96" t="str">
        <f t="shared" si="0"/>
        <v>-</v>
      </c>
      <c r="F47" s="97">
        <f t="shared" si="1"/>
        <v>1</v>
      </c>
    </row>
    <row r="48" spans="1:6" ht="28.5" customHeight="1">
      <c r="A48" s="42" t="s">
        <v>45</v>
      </c>
      <c r="B48" s="43" t="s">
        <v>38</v>
      </c>
      <c r="C48" s="81">
        <v>17</v>
      </c>
      <c r="D48" s="85">
        <f t="shared" si="3"/>
        <v>17</v>
      </c>
      <c r="E48" s="96" t="str">
        <f t="shared" si="0"/>
        <v>-</v>
      </c>
      <c r="F48" s="97">
        <f t="shared" si="1"/>
        <v>1</v>
      </c>
    </row>
    <row r="49" spans="1:6" ht="28.5" customHeight="1">
      <c r="A49" s="31" t="s">
        <v>22</v>
      </c>
      <c r="B49" s="40" t="s">
        <v>178</v>
      </c>
      <c r="C49" s="81">
        <v>36801</v>
      </c>
      <c r="D49" s="85">
        <f t="shared" si="3"/>
        <v>36801</v>
      </c>
      <c r="E49" s="96" t="str">
        <f t="shared" si="0"/>
        <v>-</v>
      </c>
      <c r="F49" s="97">
        <f t="shared" si="1"/>
        <v>1</v>
      </c>
    </row>
    <row r="50" spans="1:6" ht="28.5" customHeight="1">
      <c r="A50" s="42" t="s">
        <v>179</v>
      </c>
      <c r="B50" s="43" t="s">
        <v>180</v>
      </c>
      <c r="C50" s="81">
        <v>250</v>
      </c>
      <c r="D50" s="85">
        <f t="shared" si="3"/>
        <v>250</v>
      </c>
      <c r="E50" s="96" t="str">
        <f t="shared" si="0"/>
        <v>-</v>
      </c>
      <c r="F50" s="97">
        <f t="shared" si="1"/>
        <v>1</v>
      </c>
    </row>
    <row r="51" spans="1:6" ht="28.5" customHeight="1">
      <c r="A51" s="31" t="s">
        <v>23</v>
      </c>
      <c r="B51" s="41" t="s">
        <v>252</v>
      </c>
      <c r="C51" s="77">
        <f>C52+C53+C54+C55</f>
        <v>8153</v>
      </c>
      <c r="D51" s="77">
        <f>D52+D53+D54+D55</f>
        <v>8153</v>
      </c>
      <c r="E51" s="96" t="str">
        <f t="shared" si="0"/>
        <v>-</v>
      </c>
      <c r="F51" s="97">
        <f t="shared" si="1"/>
        <v>1</v>
      </c>
    </row>
    <row r="52" spans="1:6" ht="28.5" customHeight="1">
      <c r="A52" s="42" t="s">
        <v>50</v>
      </c>
      <c r="B52" s="43" t="s">
        <v>46</v>
      </c>
      <c r="C52" s="81">
        <v>6325</v>
      </c>
      <c r="D52" s="85">
        <f t="shared" si="3"/>
        <v>6325</v>
      </c>
      <c r="E52" s="96" t="str">
        <f t="shared" si="0"/>
        <v>-</v>
      </c>
      <c r="F52" s="97">
        <f t="shared" si="1"/>
        <v>1</v>
      </c>
    </row>
    <row r="53" spans="1:6" ht="28.5" customHeight="1">
      <c r="A53" s="42" t="s">
        <v>51</v>
      </c>
      <c r="B53" s="43" t="s">
        <v>47</v>
      </c>
      <c r="C53" s="81">
        <v>902</v>
      </c>
      <c r="D53" s="85">
        <f t="shared" si="3"/>
        <v>902</v>
      </c>
      <c r="E53" s="96" t="str">
        <f t="shared" si="0"/>
        <v>-</v>
      </c>
      <c r="F53" s="97">
        <f t="shared" si="1"/>
        <v>1</v>
      </c>
    </row>
    <row r="54" spans="1:6" ht="28.5" customHeight="1">
      <c r="A54" s="42" t="s">
        <v>52</v>
      </c>
      <c r="B54" s="43" t="s">
        <v>48</v>
      </c>
      <c r="C54" s="81">
        <v>0</v>
      </c>
      <c r="D54" s="85">
        <f t="shared" si="3"/>
        <v>0</v>
      </c>
      <c r="E54" s="96" t="str">
        <f t="shared" si="0"/>
        <v>-</v>
      </c>
      <c r="F54" s="97" t="str">
        <f t="shared" si="1"/>
        <v>-</v>
      </c>
    </row>
    <row r="55" spans="1:6" ht="28.5" customHeight="1">
      <c r="A55" s="42" t="s">
        <v>53</v>
      </c>
      <c r="B55" s="43" t="s">
        <v>49</v>
      </c>
      <c r="C55" s="81">
        <v>926</v>
      </c>
      <c r="D55" s="85">
        <f t="shared" si="3"/>
        <v>926</v>
      </c>
      <c r="E55" s="96" t="str">
        <f t="shared" si="0"/>
        <v>-</v>
      </c>
      <c r="F55" s="97">
        <f t="shared" si="1"/>
        <v>1</v>
      </c>
    </row>
    <row r="56" spans="1:6" ht="28.5" customHeight="1">
      <c r="A56" s="31" t="s">
        <v>24</v>
      </c>
      <c r="B56" s="40" t="s">
        <v>25</v>
      </c>
      <c r="C56" s="81">
        <v>0</v>
      </c>
      <c r="D56" s="85">
        <f t="shared" si="3"/>
        <v>0</v>
      </c>
      <c r="E56" s="96" t="str">
        <f t="shared" si="0"/>
        <v>-</v>
      </c>
      <c r="F56" s="97" t="str">
        <f t="shared" si="1"/>
        <v>-</v>
      </c>
    </row>
    <row r="57" spans="1:6" ht="28.5" customHeight="1">
      <c r="A57" s="31" t="s">
        <v>26</v>
      </c>
      <c r="B57" s="40" t="s">
        <v>181</v>
      </c>
      <c r="C57" s="81">
        <v>5406</v>
      </c>
      <c r="D57" s="85">
        <f t="shared" si="3"/>
        <v>5406</v>
      </c>
      <c r="E57" s="96" t="str">
        <f t="shared" si="0"/>
        <v>-</v>
      </c>
      <c r="F57" s="100">
        <f t="shared" si="1"/>
        <v>1</v>
      </c>
    </row>
    <row r="58" spans="1:6" ht="28.5" customHeight="1">
      <c r="A58" s="31" t="s">
        <v>27</v>
      </c>
      <c r="B58" s="40" t="s">
        <v>28</v>
      </c>
      <c r="C58" s="81">
        <v>320</v>
      </c>
      <c r="D58" s="85">
        <f t="shared" si="3"/>
        <v>320</v>
      </c>
      <c r="E58" s="96" t="str">
        <f t="shared" si="0"/>
        <v>-</v>
      </c>
      <c r="F58" s="97">
        <f t="shared" si="1"/>
        <v>1</v>
      </c>
    </row>
    <row r="59" spans="1:6" s="3" customFormat="1" ht="30" customHeight="1">
      <c r="A59" s="33" t="s">
        <v>29</v>
      </c>
      <c r="B59" s="45" t="s">
        <v>182</v>
      </c>
      <c r="C59" s="27">
        <f>C60+C61+C62+C63</f>
        <v>5036</v>
      </c>
      <c r="D59" s="27">
        <f>D60+D61+D62+D63</f>
        <v>5036</v>
      </c>
      <c r="E59" s="13" t="str">
        <f t="shared" si="0"/>
        <v>-</v>
      </c>
      <c r="F59" s="101">
        <f t="shared" si="1"/>
        <v>1</v>
      </c>
    </row>
    <row r="60" spans="1:6" ht="42" customHeight="1">
      <c r="A60" s="31" t="s">
        <v>102</v>
      </c>
      <c r="B60" s="40" t="s">
        <v>124</v>
      </c>
      <c r="C60" s="81">
        <v>264</v>
      </c>
      <c r="D60" s="85">
        <f>C60</f>
        <v>264</v>
      </c>
      <c r="E60" s="77" t="str">
        <f t="shared" si="0"/>
        <v>-</v>
      </c>
      <c r="F60" s="97">
        <f t="shared" si="1"/>
        <v>1</v>
      </c>
    </row>
    <row r="61" spans="1:6" ht="31.5" customHeight="1">
      <c r="A61" s="31" t="s">
        <v>30</v>
      </c>
      <c r="B61" s="40" t="s">
        <v>56</v>
      </c>
      <c r="C61" s="81">
        <v>991</v>
      </c>
      <c r="D61" s="85">
        <f>C61</f>
        <v>991</v>
      </c>
      <c r="E61" s="77" t="str">
        <f t="shared" si="0"/>
        <v>-</v>
      </c>
      <c r="F61" s="97">
        <f t="shared" si="1"/>
        <v>1</v>
      </c>
    </row>
    <row r="62" spans="1:6" ht="31.5" customHeight="1">
      <c r="A62" s="31" t="s">
        <v>31</v>
      </c>
      <c r="B62" s="40" t="s">
        <v>104</v>
      </c>
      <c r="C62" s="81">
        <v>0</v>
      </c>
      <c r="D62" s="85">
        <f>C62</f>
        <v>0</v>
      </c>
      <c r="E62" s="77" t="str">
        <f t="shared" si="0"/>
        <v>-</v>
      </c>
      <c r="F62" s="97" t="str">
        <f t="shared" si="1"/>
        <v>-</v>
      </c>
    </row>
    <row r="63" spans="1:6" ht="31.5" customHeight="1">
      <c r="A63" s="31" t="s">
        <v>103</v>
      </c>
      <c r="B63" s="40" t="s">
        <v>105</v>
      </c>
      <c r="C63" s="81">
        <v>3781</v>
      </c>
      <c r="D63" s="85">
        <f>C63</f>
        <v>3781</v>
      </c>
      <c r="E63" s="77" t="str">
        <f t="shared" si="0"/>
        <v>-</v>
      </c>
      <c r="F63" s="97">
        <f t="shared" si="1"/>
        <v>1</v>
      </c>
    </row>
    <row r="64" spans="1:6" ht="32.25" customHeight="1">
      <c r="A64" s="33" t="s">
        <v>110</v>
      </c>
      <c r="B64" s="45" t="s">
        <v>129</v>
      </c>
      <c r="C64" s="27">
        <v>2201</v>
      </c>
      <c r="D64" s="27">
        <f>C64</f>
        <v>2201</v>
      </c>
      <c r="E64" s="13" t="str">
        <f t="shared" si="0"/>
        <v>-</v>
      </c>
      <c r="F64" s="101">
        <f t="shared" si="1"/>
        <v>1</v>
      </c>
    </row>
    <row r="67" ht="12.75">
      <c r="E67" s="86"/>
    </row>
    <row r="73" ht="12.75">
      <c r="E73" s="86"/>
    </row>
  </sheetData>
  <sheetProtection formatCells="0" formatColumns="0" formatRows="0" insertColumns="0" insertRows="0" insertHyperlinks="0" deleteColumns="0" deleteRows="0"/>
  <mergeCells count="7">
    <mergeCell ref="F4:F5"/>
    <mergeCell ref="A1:F1"/>
    <mergeCell ref="A4:A5"/>
    <mergeCell ref="B4:B5"/>
    <mergeCell ref="C4:C5"/>
    <mergeCell ref="D4:D5"/>
    <mergeCell ref="E4:E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8" r:id="rId1"/>
  <headerFooter alignWithMargins="0">
    <oddFooter>&amp;R&amp;20&amp;P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showGridLines="0" view="pageBreakPreview" zoomScale="55" zoomScaleNormal="70" zoomScaleSheetLayoutView="55" zoomScalePageLayoutView="0" workbookViewId="0" topLeftCell="A1">
      <pane ySplit="7" topLeftCell="A56" activePane="bottomLeft" state="frozen"/>
      <selection pane="topLeft" activeCell="G1" sqref="G1:S65536"/>
      <selection pane="bottomLeft" activeCell="G1" sqref="G1:S65536"/>
    </sheetView>
  </sheetViews>
  <sheetFormatPr defaultColWidth="9.00390625" defaultRowHeight="12.75"/>
  <cols>
    <col min="1" max="1" width="9.125" style="2" customWidth="1"/>
    <col min="2" max="2" width="125.875" style="2" customWidth="1"/>
    <col min="3" max="3" width="25.75390625" style="2" customWidth="1"/>
    <col min="4" max="4" width="26.875" style="2" customWidth="1"/>
    <col min="5" max="5" width="25.125" style="2" customWidth="1"/>
    <col min="6" max="6" width="20.75390625" style="2" customWidth="1"/>
    <col min="7" max="16384" width="9.125" style="2" customWidth="1"/>
  </cols>
  <sheetData>
    <row r="1" spans="1:6" s="48" customFormat="1" ht="38.25" customHeight="1">
      <c r="A1" s="152" t="str">
        <f>NFZ!A1</f>
        <v>ZMIANA PLANU NARODOWEGO FUNDUSZU ZDROWIA NA 2014 R. Z DNIA 30 GRUDNIA 2014 R.</v>
      </c>
      <c r="B1" s="152"/>
      <c r="C1" s="152"/>
      <c r="D1" s="152"/>
      <c r="E1" s="152"/>
      <c r="F1" s="152"/>
    </row>
    <row r="2" spans="1:3" s="50" customFormat="1" ht="33" customHeight="1">
      <c r="A2" s="88" t="s">
        <v>74</v>
      </c>
      <c r="B2" s="88"/>
      <c r="C2" s="94"/>
    </row>
    <row r="3" spans="1:6" ht="33" customHeight="1">
      <c r="A3" s="8"/>
      <c r="B3" s="9"/>
      <c r="C3" s="87"/>
      <c r="D3" s="87"/>
      <c r="E3" s="87" t="s">
        <v>159</v>
      </c>
      <c r="F3" s="10"/>
    </row>
    <row r="4" spans="1:6" s="6" customFormat="1" ht="45" customHeight="1">
      <c r="A4" s="149" t="s">
        <v>132</v>
      </c>
      <c r="B4" s="149" t="s">
        <v>55</v>
      </c>
      <c r="C4" s="150" t="s">
        <v>236</v>
      </c>
      <c r="D4" s="150" t="s">
        <v>191</v>
      </c>
      <c r="E4" s="153" t="s">
        <v>192</v>
      </c>
      <c r="F4" s="153" t="s">
        <v>193</v>
      </c>
    </row>
    <row r="5" spans="1:6" s="6" customFormat="1" ht="45" customHeight="1">
      <c r="A5" s="149"/>
      <c r="B5" s="149"/>
      <c r="C5" s="151"/>
      <c r="D5" s="151"/>
      <c r="E5" s="153"/>
      <c r="F5" s="153"/>
    </row>
    <row r="6" spans="1:6" s="4" customFormat="1" ht="14.25">
      <c r="A6" s="47">
        <v>1</v>
      </c>
      <c r="B6" s="52">
        <v>2</v>
      </c>
      <c r="C6" s="47">
        <v>3</v>
      </c>
      <c r="D6" s="52">
        <v>4</v>
      </c>
      <c r="E6" s="47">
        <v>5</v>
      </c>
      <c r="F6" s="52">
        <v>6</v>
      </c>
    </row>
    <row r="7" spans="1:6" s="3" customFormat="1" ht="30" customHeight="1">
      <c r="A7" s="23" t="s">
        <v>0</v>
      </c>
      <c r="B7" s="39" t="s">
        <v>248</v>
      </c>
      <c r="C7" s="16">
        <f>C8+C9+C10+C15+C16+C17+C18+C19+C20+C21+C22+C23+C24+C25+C29+C30+C32+C33</f>
        <v>2163315</v>
      </c>
      <c r="D7" s="16">
        <f>D8+D9+D10+D15+D16+D17+D18+D19+D20+D21+D22+D23+D24+D25+D29+D30+D32+D33</f>
        <v>2165591</v>
      </c>
      <c r="E7" s="13">
        <f>IF(C7=D7,"-",D7-C7)</f>
        <v>2276</v>
      </c>
      <c r="F7" s="95">
        <f>IF(C7=0,"-",D7/C7)</f>
        <v>1.001</v>
      </c>
    </row>
    <row r="8" spans="1:6" ht="33" customHeight="1">
      <c r="A8" s="29" t="s">
        <v>1</v>
      </c>
      <c r="B8" s="35" t="s">
        <v>133</v>
      </c>
      <c r="C8" s="81">
        <v>244792</v>
      </c>
      <c r="D8" s="25">
        <f>C8</f>
        <v>244792</v>
      </c>
      <c r="E8" s="96" t="str">
        <f aca="true" t="shared" si="0" ref="E8:E64">IF(C8=D8,"-",D8-C8)</f>
        <v>-</v>
      </c>
      <c r="F8" s="97">
        <f aca="true" t="shared" si="1" ref="F8:F64">IF(C8=0,"-",D8/C8)</f>
        <v>1</v>
      </c>
    </row>
    <row r="9" spans="1:6" ht="33" customHeight="1">
      <c r="A9" s="29" t="s">
        <v>2</v>
      </c>
      <c r="B9" s="35" t="s">
        <v>134</v>
      </c>
      <c r="C9" s="81">
        <v>166903</v>
      </c>
      <c r="D9" s="25">
        <f aca="true" t="shared" si="2" ref="D9:D34">C9</f>
        <v>166903</v>
      </c>
      <c r="E9" s="96" t="str">
        <f t="shared" si="0"/>
        <v>-</v>
      </c>
      <c r="F9" s="97">
        <f t="shared" si="1"/>
        <v>1</v>
      </c>
    </row>
    <row r="10" spans="1:6" ht="33" customHeight="1">
      <c r="A10" s="29" t="s">
        <v>3</v>
      </c>
      <c r="B10" s="35" t="s">
        <v>131</v>
      </c>
      <c r="C10" s="81">
        <v>1102417</v>
      </c>
      <c r="D10" s="25">
        <f>C10+2276</f>
        <v>1104693</v>
      </c>
      <c r="E10" s="96">
        <f t="shared" si="0"/>
        <v>2276</v>
      </c>
      <c r="F10" s="97">
        <f t="shared" si="1"/>
        <v>1.0021</v>
      </c>
    </row>
    <row r="11" spans="1:6" ht="31.5" customHeight="1">
      <c r="A11" s="28" t="s">
        <v>57</v>
      </c>
      <c r="B11" s="34" t="s">
        <v>160</v>
      </c>
      <c r="C11" s="81">
        <v>85852</v>
      </c>
      <c r="D11" s="25">
        <f t="shared" si="2"/>
        <v>85852</v>
      </c>
      <c r="E11" s="96" t="str">
        <f t="shared" si="0"/>
        <v>-</v>
      </c>
      <c r="F11" s="97">
        <f t="shared" si="1"/>
        <v>1</v>
      </c>
    </row>
    <row r="12" spans="1:6" ht="31.5" customHeight="1">
      <c r="A12" s="28" t="s">
        <v>161</v>
      </c>
      <c r="B12" s="34" t="s">
        <v>164</v>
      </c>
      <c r="C12" s="81">
        <v>75591</v>
      </c>
      <c r="D12" s="25">
        <f t="shared" si="2"/>
        <v>75591</v>
      </c>
      <c r="E12" s="96" t="str">
        <f t="shared" si="0"/>
        <v>-</v>
      </c>
      <c r="F12" s="97">
        <f t="shared" si="1"/>
        <v>1</v>
      </c>
    </row>
    <row r="13" spans="1:6" ht="31.5" customHeight="1">
      <c r="A13" s="28" t="s">
        <v>162</v>
      </c>
      <c r="B13" s="34" t="s">
        <v>165</v>
      </c>
      <c r="C13" s="81">
        <v>53221</v>
      </c>
      <c r="D13" s="25">
        <f t="shared" si="2"/>
        <v>53221</v>
      </c>
      <c r="E13" s="96" t="str">
        <f t="shared" si="0"/>
        <v>-</v>
      </c>
      <c r="F13" s="97">
        <f t="shared" si="1"/>
        <v>1</v>
      </c>
    </row>
    <row r="14" spans="1:6" ht="31.5" customHeight="1">
      <c r="A14" s="28" t="s">
        <v>163</v>
      </c>
      <c r="B14" s="34" t="s">
        <v>166</v>
      </c>
      <c r="C14" s="81">
        <v>21061</v>
      </c>
      <c r="D14" s="25">
        <f t="shared" si="2"/>
        <v>21061</v>
      </c>
      <c r="E14" s="96" t="str">
        <f t="shared" si="0"/>
        <v>-</v>
      </c>
      <c r="F14" s="97">
        <f t="shared" si="1"/>
        <v>1</v>
      </c>
    </row>
    <row r="15" spans="1:6" ht="33" customHeight="1">
      <c r="A15" s="29" t="s">
        <v>4</v>
      </c>
      <c r="B15" s="35" t="s">
        <v>139</v>
      </c>
      <c r="C15" s="81">
        <v>68714</v>
      </c>
      <c r="D15" s="25">
        <f t="shared" si="2"/>
        <v>68714</v>
      </c>
      <c r="E15" s="96" t="str">
        <f t="shared" si="0"/>
        <v>-</v>
      </c>
      <c r="F15" s="97">
        <f t="shared" si="1"/>
        <v>1</v>
      </c>
    </row>
    <row r="16" spans="1:6" ht="33" customHeight="1">
      <c r="A16" s="29" t="s">
        <v>5</v>
      </c>
      <c r="B16" s="35" t="s">
        <v>135</v>
      </c>
      <c r="C16" s="81">
        <v>70577</v>
      </c>
      <c r="D16" s="25">
        <f t="shared" si="2"/>
        <v>70577</v>
      </c>
      <c r="E16" s="96" t="str">
        <f t="shared" si="0"/>
        <v>-</v>
      </c>
      <c r="F16" s="97">
        <f t="shared" si="1"/>
        <v>1</v>
      </c>
    </row>
    <row r="17" spans="1:6" ht="33" customHeight="1">
      <c r="A17" s="29" t="s">
        <v>6</v>
      </c>
      <c r="B17" s="35" t="s">
        <v>141</v>
      </c>
      <c r="C17" s="81">
        <v>46061</v>
      </c>
      <c r="D17" s="25">
        <f t="shared" si="2"/>
        <v>46061</v>
      </c>
      <c r="E17" s="96" t="str">
        <f t="shared" si="0"/>
        <v>-</v>
      </c>
      <c r="F17" s="97">
        <f t="shared" si="1"/>
        <v>1</v>
      </c>
    </row>
    <row r="18" spans="1:6" ht="33" customHeight="1">
      <c r="A18" s="29" t="s">
        <v>7</v>
      </c>
      <c r="B18" s="35" t="s">
        <v>140</v>
      </c>
      <c r="C18" s="81">
        <v>15722</v>
      </c>
      <c r="D18" s="25">
        <f t="shared" si="2"/>
        <v>15722</v>
      </c>
      <c r="E18" s="96" t="str">
        <f t="shared" si="0"/>
        <v>-</v>
      </c>
      <c r="F18" s="97">
        <f t="shared" si="1"/>
        <v>1</v>
      </c>
    </row>
    <row r="19" spans="1:6" ht="33" customHeight="1">
      <c r="A19" s="29" t="s">
        <v>8</v>
      </c>
      <c r="B19" s="35" t="s">
        <v>136</v>
      </c>
      <c r="C19" s="81">
        <v>63502</v>
      </c>
      <c r="D19" s="25">
        <f t="shared" si="2"/>
        <v>63502</v>
      </c>
      <c r="E19" s="96" t="str">
        <f t="shared" si="0"/>
        <v>-</v>
      </c>
      <c r="F19" s="97">
        <f t="shared" si="1"/>
        <v>1</v>
      </c>
    </row>
    <row r="20" spans="1:6" ht="33" customHeight="1">
      <c r="A20" s="29" t="s">
        <v>9</v>
      </c>
      <c r="B20" s="35" t="s">
        <v>137</v>
      </c>
      <c r="C20" s="81">
        <v>25010</v>
      </c>
      <c r="D20" s="25">
        <f t="shared" si="2"/>
        <v>25010</v>
      </c>
      <c r="E20" s="96" t="str">
        <f t="shared" si="0"/>
        <v>-</v>
      </c>
      <c r="F20" s="97">
        <f t="shared" si="1"/>
        <v>1</v>
      </c>
    </row>
    <row r="21" spans="1:6" ht="33" customHeight="1">
      <c r="A21" s="29" t="s">
        <v>10</v>
      </c>
      <c r="B21" s="35" t="s">
        <v>142</v>
      </c>
      <c r="C21" s="81">
        <v>1500</v>
      </c>
      <c r="D21" s="25">
        <f t="shared" si="2"/>
        <v>1500</v>
      </c>
      <c r="E21" s="96" t="str">
        <f t="shared" si="0"/>
        <v>-</v>
      </c>
      <c r="F21" s="97">
        <f t="shared" si="1"/>
        <v>1</v>
      </c>
    </row>
    <row r="22" spans="1:6" ht="46.5" customHeight="1">
      <c r="A22" s="29" t="s">
        <v>11</v>
      </c>
      <c r="B22" s="35" t="s">
        <v>138</v>
      </c>
      <c r="C22" s="81">
        <v>5306</v>
      </c>
      <c r="D22" s="25">
        <f t="shared" si="2"/>
        <v>5306</v>
      </c>
      <c r="E22" s="96" t="str">
        <f t="shared" si="0"/>
        <v>-</v>
      </c>
      <c r="F22" s="97">
        <f t="shared" si="1"/>
        <v>1</v>
      </c>
    </row>
    <row r="23" spans="1:6" ht="33" customHeight="1">
      <c r="A23" s="29" t="s">
        <v>12</v>
      </c>
      <c r="B23" s="35" t="s">
        <v>185</v>
      </c>
      <c r="C23" s="81">
        <v>56878</v>
      </c>
      <c r="D23" s="25">
        <f t="shared" si="2"/>
        <v>56878</v>
      </c>
      <c r="E23" s="96" t="str">
        <f t="shared" si="0"/>
        <v>-</v>
      </c>
      <c r="F23" s="97">
        <f t="shared" si="1"/>
        <v>1</v>
      </c>
    </row>
    <row r="24" spans="1:6" ht="33" customHeight="1">
      <c r="A24" s="29" t="s">
        <v>13</v>
      </c>
      <c r="B24" s="35" t="s">
        <v>167</v>
      </c>
      <c r="C24" s="81">
        <v>29061</v>
      </c>
      <c r="D24" s="25">
        <f t="shared" si="2"/>
        <v>29061</v>
      </c>
      <c r="E24" s="96" t="str">
        <f t="shared" si="0"/>
        <v>-</v>
      </c>
      <c r="F24" s="97">
        <f t="shared" si="1"/>
        <v>1</v>
      </c>
    </row>
    <row r="25" spans="1:6" ht="33" customHeight="1">
      <c r="A25" s="30" t="s">
        <v>14</v>
      </c>
      <c r="B25" s="78" t="s">
        <v>249</v>
      </c>
      <c r="C25" s="81">
        <f>SUM(C26:C28)</f>
        <v>265131</v>
      </c>
      <c r="D25" s="81">
        <f>SUM(D26:D28)</f>
        <v>265131</v>
      </c>
      <c r="E25" s="96" t="str">
        <f t="shared" si="0"/>
        <v>-</v>
      </c>
      <c r="F25" s="97">
        <f t="shared" si="1"/>
        <v>1</v>
      </c>
    </row>
    <row r="26" spans="1:6" ht="31.5">
      <c r="A26" s="28" t="s">
        <v>143</v>
      </c>
      <c r="B26" s="34" t="s">
        <v>170</v>
      </c>
      <c r="C26" s="81">
        <v>264659</v>
      </c>
      <c r="D26" s="25">
        <f t="shared" si="2"/>
        <v>264659</v>
      </c>
      <c r="E26" s="96" t="str">
        <f t="shared" si="0"/>
        <v>-</v>
      </c>
      <c r="F26" s="97">
        <f t="shared" si="1"/>
        <v>1</v>
      </c>
    </row>
    <row r="27" spans="1:6" ht="31.5" customHeight="1">
      <c r="A27" s="28" t="s">
        <v>169</v>
      </c>
      <c r="B27" s="34" t="s">
        <v>172</v>
      </c>
      <c r="C27" s="81">
        <v>338</v>
      </c>
      <c r="D27" s="25">
        <f t="shared" si="2"/>
        <v>338</v>
      </c>
      <c r="E27" s="96" t="str">
        <f t="shared" si="0"/>
        <v>-</v>
      </c>
      <c r="F27" s="97">
        <f t="shared" si="1"/>
        <v>1</v>
      </c>
    </row>
    <row r="28" spans="1:6" ht="31.5" customHeight="1">
      <c r="A28" s="28" t="s">
        <v>173</v>
      </c>
      <c r="B28" s="34" t="s">
        <v>171</v>
      </c>
      <c r="C28" s="81">
        <v>134</v>
      </c>
      <c r="D28" s="25">
        <f t="shared" si="2"/>
        <v>134</v>
      </c>
      <c r="E28" s="96" t="str">
        <f t="shared" si="0"/>
        <v>-</v>
      </c>
      <c r="F28" s="97">
        <f t="shared" si="1"/>
        <v>1</v>
      </c>
    </row>
    <row r="29" spans="1:6" ht="33" customHeight="1">
      <c r="A29" s="31" t="s">
        <v>15</v>
      </c>
      <c r="B29" s="36" t="s">
        <v>122</v>
      </c>
      <c r="C29" s="81">
        <v>0</v>
      </c>
      <c r="D29" s="25">
        <f t="shared" si="2"/>
        <v>0</v>
      </c>
      <c r="E29" s="96" t="str">
        <f t="shared" si="0"/>
        <v>-</v>
      </c>
      <c r="F29" s="97" t="str">
        <f t="shared" si="1"/>
        <v>-</v>
      </c>
    </row>
    <row r="30" spans="1:6" ht="33" customHeight="1">
      <c r="A30" s="31" t="s">
        <v>119</v>
      </c>
      <c r="B30" s="37" t="s">
        <v>174</v>
      </c>
      <c r="C30" s="81">
        <v>0</v>
      </c>
      <c r="D30" s="25">
        <f t="shared" si="2"/>
        <v>0</v>
      </c>
      <c r="E30" s="96" t="str">
        <f t="shared" si="0"/>
        <v>-</v>
      </c>
      <c r="F30" s="97" t="str">
        <f t="shared" si="1"/>
        <v>-</v>
      </c>
    </row>
    <row r="31" spans="1:6" ht="31.5" customHeight="1">
      <c r="A31" s="28" t="s">
        <v>175</v>
      </c>
      <c r="B31" s="34" t="s">
        <v>187</v>
      </c>
      <c r="C31" s="81">
        <v>0</v>
      </c>
      <c r="D31" s="25">
        <f t="shared" si="2"/>
        <v>0</v>
      </c>
      <c r="E31" s="96" t="str">
        <f t="shared" si="0"/>
        <v>-</v>
      </c>
      <c r="F31" s="97" t="str">
        <f t="shared" si="1"/>
        <v>-</v>
      </c>
    </row>
    <row r="32" spans="1:6" ht="33" customHeight="1">
      <c r="A32" s="31" t="s">
        <v>120</v>
      </c>
      <c r="B32" s="37" t="s">
        <v>123</v>
      </c>
      <c r="C32" s="81">
        <v>0</v>
      </c>
      <c r="D32" s="25">
        <f t="shared" si="2"/>
        <v>0</v>
      </c>
      <c r="E32" s="96" t="str">
        <f t="shared" si="0"/>
        <v>-</v>
      </c>
      <c r="F32" s="97" t="str">
        <f t="shared" si="1"/>
        <v>-</v>
      </c>
    </row>
    <row r="33" spans="1:6" ht="33" customHeight="1">
      <c r="A33" s="31" t="s">
        <v>121</v>
      </c>
      <c r="B33" s="37" t="s">
        <v>186</v>
      </c>
      <c r="C33" s="81">
        <v>1741</v>
      </c>
      <c r="D33" s="25">
        <f t="shared" si="2"/>
        <v>1741</v>
      </c>
      <c r="E33" s="96" t="str">
        <f t="shared" si="0"/>
        <v>-</v>
      </c>
      <c r="F33" s="97">
        <f t="shared" si="1"/>
        <v>1</v>
      </c>
    </row>
    <row r="34" spans="1:6" ht="51.75" customHeight="1">
      <c r="A34" s="31" t="s">
        <v>246</v>
      </c>
      <c r="B34" s="37" t="s">
        <v>247</v>
      </c>
      <c r="C34" s="81">
        <v>0</v>
      </c>
      <c r="D34" s="25">
        <f t="shared" si="2"/>
        <v>0</v>
      </c>
      <c r="E34" s="96" t="str">
        <f>IF(C34=D34,"-",D34-C34)</f>
        <v>-</v>
      </c>
      <c r="F34" s="97" t="str">
        <f>IF(C34=0,"-",D34/C34)</f>
        <v>-</v>
      </c>
    </row>
    <row r="35" spans="1:6" s="5" customFormat="1" ht="31.5" customHeight="1">
      <c r="A35" s="32" t="s">
        <v>59</v>
      </c>
      <c r="B35" s="38" t="s">
        <v>60</v>
      </c>
      <c r="C35" s="84">
        <v>0</v>
      </c>
      <c r="D35" s="92">
        <f>C35</f>
        <v>0</v>
      </c>
      <c r="E35" s="15" t="str">
        <f t="shared" si="0"/>
        <v>-</v>
      </c>
      <c r="F35" s="98" t="str">
        <f t="shared" si="1"/>
        <v>-</v>
      </c>
    </row>
    <row r="36" spans="1:6" s="5" customFormat="1" ht="31.5" customHeight="1">
      <c r="A36" s="32" t="s">
        <v>58</v>
      </c>
      <c r="B36" s="38" t="s">
        <v>61</v>
      </c>
      <c r="C36" s="84">
        <v>56434</v>
      </c>
      <c r="D36" s="93">
        <f>C36</f>
        <v>56434</v>
      </c>
      <c r="E36" s="15" t="str">
        <f t="shared" si="0"/>
        <v>-</v>
      </c>
      <c r="F36" s="98">
        <f t="shared" si="1"/>
        <v>1</v>
      </c>
    </row>
    <row r="37" spans="1:6" s="5" customFormat="1" ht="42.75" customHeight="1">
      <c r="A37" s="32" t="s">
        <v>176</v>
      </c>
      <c r="B37" s="38" t="s">
        <v>177</v>
      </c>
      <c r="C37" s="84">
        <v>361783</v>
      </c>
      <c r="D37" s="84">
        <f>D12+D14+D25+D31</f>
        <v>361783</v>
      </c>
      <c r="E37" s="15" t="str">
        <f t="shared" si="0"/>
        <v>-</v>
      </c>
      <c r="F37" s="98">
        <f t="shared" si="1"/>
        <v>1</v>
      </c>
    </row>
    <row r="38" spans="1:6" s="3" customFormat="1" ht="30" customHeight="1">
      <c r="A38" s="26" t="s">
        <v>16</v>
      </c>
      <c r="B38" s="46" t="s">
        <v>250</v>
      </c>
      <c r="C38" s="24">
        <f>C39+C40+C41+C49+C51+C57+C58+C56</f>
        <v>18323</v>
      </c>
      <c r="D38" s="24">
        <f>D39+D40+D41+D49+D51+D57+D58+D56</f>
        <v>18323</v>
      </c>
      <c r="E38" s="13" t="str">
        <f t="shared" si="0"/>
        <v>-</v>
      </c>
      <c r="F38" s="99">
        <f t="shared" si="1"/>
        <v>1</v>
      </c>
    </row>
    <row r="39" spans="1:6" ht="28.5" customHeight="1">
      <c r="A39" s="31" t="s">
        <v>17</v>
      </c>
      <c r="B39" s="40" t="s">
        <v>18</v>
      </c>
      <c r="C39" s="81">
        <v>904</v>
      </c>
      <c r="D39" s="85">
        <f>C39</f>
        <v>904</v>
      </c>
      <c r="E39" s="96" t="str">
        <f t="shared" si="0"/>
        <v>-</v>
      </c>
      <c r="F39" s="97">
        <f t="shared" si="1"/>
        <v>1</v>
      </c>
    </row>
    <row r="40" spans="1:6" ht="28.5" customHeight="1">
      <c r="A40" s="31" t="s">
        <v>19</v>
      </c>
      <c r="B40" s="40" t="s">
        <v>20</v>
      </c>
      <c r="C40" s="81">
        <v>1991</v>
      </c>
      <c r="D40" s="85">
        <f>C40</f>
        <v>1991</v>
      </c>
      <c r="E40" s="96" t="str">
        <f t="shared" si="0"/>
        <v>-</v>
      </c>
      <c r="F40" s="97">
        <f t="shared" si="1"/>
        <v>1</v>
      </c>
    </row>
    <row r="41" spans="1:6" ht="28.5" customHeight="1">
      <c r="A41" s="31" t="s">
        <v>21</v>
      </c>
      <c r="B41" s="41" t="s">
        <v>251</v>
      </c>
      <c r="C41" s="85">
        <f>C42+C44+C45+C46+C47+C48</f>
        <v>57</v>
      </c>
      <c r="D41" s="85">
        <f>D42+D44+D45+D46+D47+D48</f>
        <v>57</v>
      </c>
      <c r="E41" s="96" t="str">
        <f t="shared" si="0"/>
        <v>-</v>
      </c>
      <c r="F41" s="97">
        <f t="shared" si="1"/>
        <v>1</v>
      </c>
    </row>
    <row r="42" spans="1:6" ht="28.5" customHeight="1">
      <c r="A42" s="42" t="s">
        <v>39</v>
      </c>
      <c r="B42" s="43" t="s">
        <v>32</v>
      </c>
      <c r="C42" s="81">
        <v>7</v>
      </c>
      <c r="D42" s="85">
        <f aca="true" t="shared" si="3" ref="D42:D50">C42</f>
        <v>7</v>
      </c>
      <c r="E42" s="96" t="str">
        <f t="shared" si="0"/>
        <v>-</v>
      </c>
      <c r="F42" s="97">
        <f t="shared" si="1"/>
        <v>1</v>
      </c>
    </row>
    <row r="43" spans="1:6" ht="28.5" customHeight="1">
      <c r="A43" s="42" t="s">
        <v>40</v>
      </c>
      <c r="B43" s="44" t="s">
        <v>33</v>
      </c>
      <c r="C43" s="81">
        <v>7</v>
      </c>
      <c r="D43" s="85">
        <f t="shared" si="3"/>
        <v>7</v>
      </c>
      <c r="E43" s="96" t="str">
        <f t="shared" si="0"/>
        <v>-</v>
      </c>
      <c r="F43" s="97">
        <f t="shared" si="1"/>
        <v>1</v>
      </c>
    </row>
    <row r="44" spans="1:6" ht="28.5" customHeight="1">
      <c r="A44" s="42" t="s">
        <v>41</v>
      </c>
      <c r="B44" s="43" t="s">
        <v>34</v>
      </c>
      <c r="C44" s="81">
        <v>16</v>
      </c>
      <c r="D44" s="85">
        <f t="shared" si="3"/>
        <v>16</v>
      </c>
      <c r="E44" s="96" t="str">
        <f t="shared" si="0"/>
        <v>-</v>
      </c>
      <c r="F44" s="97">
        <f t="shared" si="1"/>
        <v>1</v>
      </c>
    </row>
    <row r="45" spans="1:6" ht="28.5" customHeight="1">
      <c r="A45" s="42" t="s">
        <v>42</v>
      </c>
      <c r="B45" s="43" t="s">
        <v>35</v>
      </c>
      <c r="C45" s="81">
        <v>0</v>
      </c>
      <c r="D45" s="85">
        <f t="shared" si="3"/>
        <v>0</v>
      </c>
      <c r="E45" s="96" t="str">
        <f t="shared" si="0"/>
        <v>-</v>
      </c>
      <c r="F45" s="97" t="str">
        <f t="shared" si="1"/>
        <v>-</v>
      </c>
    </row>
    <row r="46" spans="1:6" ht="28.5" customHeight="1">
      <c r="A46" s="42" t="s">
        <v>43</v>
      </c>
      <c r="B46" s="43" t="s">
        <v>36</v>
      </c>
      <c r="C46" s="81">
        <v>0</v>
      </c>
      <c r="D46" s="85">
        <f t="shared" si="3"/>
        <v>0</v>
      </c>
      <c r="E46" s="96" t="str">
        <f t="shared" si="0"/>
        <v>-</v>
      </c>
      <c r="F46" s="97" t="str">
        <f t="shared" si="1"/>
        <v>-</v>
      </c>
    </row>
    <row r="47" spans="1:6" ht="28.5" customHeight="1">
      <c r="A47" s="42" t="s">
        <v>44</v>
      </c>
      <c r="B47" s="43" t="s">
        <v>37</v>
      </c>
      <c r="C47" s="81">
        <v>34</v>
      </c>
      <c r="D47" s="85">
        <f t="shared" si="3"/>
        <v>34</v>
      </c>
      <c r="E47" s="96" t="str">
        <f t="shared" si="0"/>
        <v>-</v>
      </c>
      <c r="F47" s="97">
        <f t="shared" si="1"/>
        <v>1</v>
      </c>
    </row>
    <row r="48" spans="1:6" ht="28.5" customHeight="1">
      <c r="A48" s="42" t="s">
        <v>45</v>
      </c>
      <c r="B48" s="43" t="s">
        <v>38</v>
      </c>
      <c r="C48" s="81">
        <v>0</v>
      </c>
      <c r="D48" s="85">
        <f t="shared" si="3"/>
        <v>0</v>
      </c>
      <c r="E48" s="96" t="str">
        <f t="shared" si="0"/>
        <v>-</v>
      </c>
      <c r="F48" s="97" t="str">
        <f t="shared" si="1"/>
        <v>-</v>
      </c>
    </row>
    <row r="49" spans="1:6" ht="28.5" customHeight="1">
      <c r="A49" s="31" t="s">
        <v>22</v>
      </c>
      <c r="B49" s="40" t="s">
        <v>178</v>
      </c>
      <c r="C49" s="81">
        <v>10329</v>
      </c>
      <c r="D49" s="85">
        <f t="shared" si="3"/>
        <v>10329</v>
      </c>
      <c r="E49" s="96" t="str">
        <f t="shared" si="0"/>
        <v>-</v>
      </c>
      <c r="F49" s="97">
        <f t="shared" si="1"/>
        <v>1</v>
      </c>
    </row>
    <row r="50" spans="1:6" ht="28.5" customHeight="1">
      <c r="A50" s="42" t="s">
        <v>179</v>
      </c>
      <c r="B50" s="43" t="s">
        <v>180</v>
      </c>
      <c r="C50" s="81">
        <v>40</v>
      </c>
      <c r="D50" s="85">
        <f t="shared" si="3"/>
        <v>40</v>
      </c>
      <c r="E50" s="96" t="str">
        <f t="shared" si="0"/>
        <v>-</v>
      </c>
      <c r="F50" s="97">
        <f t="shared" si="1"/>
        <v>1</v>
      </c>
    </row>
    <row r="51" spans="1:6" ht="28.5" customHeight="1">
      <c r="A51" s="31" t="s">
        <v>23</v>
      </c>
      <c r="B51" s="41" t="s">
        <v>252</v>
      </c>
      <c r="C51" s="77">
        <f>C52+C53+C54+C55</f>
        <v>2294</v>
      </c>
      <c r="D51" s="77">
        <f>D52+D53+D54+D55</f>
        <v>2294</v>
      </c>
      <c r="E51" s="96" t="str">
        <f t="shared" si="0"/>
        <v>-</v>
      </c>
      <c r="F51" s="97">
        <f t="shared" si="1"/>
        <v>1</v>
      </c>
    </row>
    <row r="52" spans="1:6" ht="28.5" customHeight="1">
      <c r="A52" s="42" t="s">
        <v>50</v>
      </c>
      <c r="B52" s="43" t="s">
        <v>46</v>
      </c>
      <c r="C52" s="81">
        <v>1776</v>
      </c>
      <c r="D52" s="85">
        <f aca="true" t="shared" si="4" ref="D52:D58">C52</f>
        <v>1776</v>
      </c>
      <c r="E52" s="96" t="str">
        <f t="shared" si="0"/>
        <v>-</v>
      </c>
      <c r="F52" s="97">
        <f t="shared" si="1"/>
        <v>1</v>
      </c>
    </row>
    <row r="53" spans="1:6" ht="28.5" customHeight="1">
      <c r="A53" s="42" t="s">
        <v>51</v>
      </c>
      <c r="B53" s="43" t="s">
        <v>47</v>
      </c>
      <c r="C53" s="81">
        <v>253</v>
      </c>
      <c r="D53" s="85">
        <f t="shared" si="4"/>
        <v>253</v>
      </c>
      <c r="E53" s="96" t="str">
        <f t="shared" si="0"/>
        <v>-</v>
      </c>
      <c r="F53" s="97">
        <f t="shared" si="1"/>
        <v>1</v>
      </c>
    </row>
    <row r="54" spans="1:6" ht="28.5" customHeight="1">
      <c r="A54" s="42" t="s">
        <v>52</v>
      </c>
      <c r="B54" s="43" t="s">
        <v>48</v>
      </c>
      <c r="C54" s="81">
        <v>0</v>
      </c>
      <c r="D54" s="85">
        <f t="shared" si="4"/>
        <v>0</v>
      </c>
      <c r="E54" s="96" t="str">
        <f t="shared" si="0"/>
        <v>-</v>
      </c>
      <c r="F54" s="97" t="str">
        <f t="shared" si="1"/>
        <v>-</v>
      </c>
    </row>
    <row r="55" spans="1:6" ht="28.5" customHeight="1">
      <c r="A55" s="42" t="s">
        <v>53</v>
      </c>
      <c r="B55" s="43" t="s">
        <v>49</v>
      </c>
      <c r="C55" s="81">
        <v>265</v>
      </c>
      <c r="D55" s="85">
        <f t="shared" si="4"/>
        <v>265</v>
      </c>
      <c r="E55" s="96" t="str">
        <f t="shared" si="0"/>
        <v>-</v>
      </c>
      <c r="F55" s="97">
        <f t="shared" si="1"/>
        <v>1</v>
      </c>
    </row>
    <row r="56" spans="1:6" ht="28.5" customHeight="1">
      <c r="A56" s="31" t="s">
        <v>24</v>
      </c>
      <c r="B56" s="40" t="s">
        <v>25</v>
      </c>
      <c r="C56" s="81">
        <v>0</v>
      </c>
      <c r="D56" s="85">
        <f t="shared" si="4"/>
        <v>0</v>
      </c>
      <c r="E56" s="96" t="str">
        <f t="shared" si="0"/>
        <v>-</v>
      </c>
      <c r="F56" s="97" t="str">
        <f t="shared" si="1"/>
        <v>-</v>
      </c>
    </row>
    <row r="57" spans="1:6" ht="28.5" customHeight="1">
      <c r="A57" s="31" t="s">
        <v>26</v>
      </c>
      <c r="B57" s="40" t="s">
        <v>181</v>
      </c>
      <c r="C57" s="81">
        <v>2580</v>
      </c>
      <c r="D57" s="85">
        <f t="shared" si="4"/>
        <v>2580</v>
      </c>
      <c r="E57" s="96" t="str">
        <f t="shared" si="0"/>
        <v>-</v>
      </c>
      <c r="F57" s="100">
        <f t="shared" si="1"/>
        <v>1</v>
      </c>
    </row>
    <row r="58" spans="1:6" ht="28.5" customHeight="1">
      <c r="A58" s="31" t="s">
        <v>27</v>
      </c>
      <c r="B58" s="40" t="s">
        <v>28</v>
      </c>
      <c r="C58" s="81">
        <v>168</v>
      </c>
      <c r="D58" s="85">
        <f t="shared" si="4"/>
        <v>168</v>
      </c>
      <c r="E58" s="96" t="str">
        <f t="shared" si="0"/>
        <v>-</v>
      </c>
      <c r="F58" s="97">
        <f t="shared" si="1"/>
        <v>1</v>
      </c>
    </row>
    <row r="59" spans="1:6" s="3" customFormat="1" ht="30" customHeight="1">
      <c r="A59" s="33" t="s">
        <v>29</v>
      </c>
      <c r="B59" s="45" t="s">
        <v>182</v>
      </c>
      <c r="C59" s="27">
        <f>C60+C61+C62+C63</f>
        <v>20500</v>
      </c>
      <c r="D59" s="27">
        <f>D60+D61+D62+D63</f>
        <v>9000</v>
      </c>
      <c r="E59" s="13">
        <f t="shared" si="0"/>
        <v>-11500</v>
      </c>
      <c r="F59" s="101">
        <f t="shared" si="1"/>
        <v>0.439</v>
      </c>
    </row>
    <row r="60" spans="1:6" ht="42" customHeight="1">
      <c r="A60" s="31" t="s">
        <v>102</v>
      </c>
      <c r="B60" s="40" t="s">
        <v>124</v>
      </c>
      <c r="C60" s="81">
        <v>0</v>
      </c>
      <c r="D60" s="85">
        <f>C60</f>
        <v>0</v>
      </c>
      <c r="E60" s="77" t="str">
        <f t="shared" si="0"/>
        <v>-</v>
      </c>
      <c r="F60" s="97" t="str">
        <f t="shared" si="1"/>
        <v>-</v>
      </c>
    </row>
    <row r="61" spans="1:6" ht="31.5" customHeight="1">
      <c r="A61" s="31" t="s">
        <v>30</v>
      </c>
      <c r="B61" s="40" t="s">
        <v>56</v>
      </c>
      <c r="C61" s="81">
        <v>19000</v>
      </c>
      <c r="D61" s="85">
        <f>C61-11000</f>
        <v>8000</v>
      </c>
      <c r="E61" s="77">
        <f t="shared" si="0"/>
        <v>-11000</v>
      </c>
      <c r="F61" s="97">
        <f t="shared" si="1"/>
        <v>0.4211</v>
      </c>
    </row>
    <row r="62" spans="1:6" ht="31.5" customHeight="1">
      <c r="A62" s="31" t="s">
        <v>31</v>
      </c>
      <c r="B62" s="40" t="s">
        <v>104</v>
      </c>
      <c r="C62" s="81">
        <v>0</v>
      </c>
      <c r="D62" s="85">
        <f>C62</f>
        <v>0</v>
      </c>
      <c r="E62" s="77" t="str">
        <f t="shared" si="0"/>
        <v>-</v>
      </c>
      <c r="F62" s="97" t="str">
        <f t="shared" si="1"/>
        <v>-</v>
      </c>
    </row>
    <row r="63" spans="1:6" ht="31.5" customHeight="1">
      <c r="A63" s="31" t="s">
        <v>103</v>
      </c>
      <c r="B63" s="40" t="s">
        <v>105</v>
      </c>
      <c r="C63" s="81">
        <v>1500</v>
      </c>
      <c r="D63" s="85">
        <f>C63-500</f>
        <v>1000</v>
      </c>
      <c r="E63" s="77">
        <f t="shared" si="0"/>
        <v>-500</v>
      </c>
      <c r="F63" s="97">
        <f t="shared" si="1"/>
        <v>0.6667</v>
      </c>
    </row>
    <row r="64" spans="1:6" ht="32.25" customHeight="1">
      <c r="A64" s="33" t="s">
        <v>110</v>
      </c>
      <c r="B64" s="45" t="s">
        <v>129</v>
      </c>
      <c r="C64" s="27">
        <v>3885</v>
      </c>
      <c r="D64" s="27">
        <f>C64</f>
        <v>3885</v>
      </c>
      <c r="E64" s="13" t="str">
        <f t="shared" si="0"/>
        <v>-</v>
      </c>
      <c r="F64" s="101">
        <f t="shared" si="1"/>
        <v>1</v>
      </c>
    </row>
  </sheetData>
  <sheetProtection formatCells="0" formatColumns="0" formatRows="0" insertColumns="0" insertRows="0" insertHyperlinks="0" deleteColumns="0" deleteRows="0"/>
  <mergeCells count="7">
    <mergeCell ref="F4:F5"/>
    <mergeCell ref="A1:F1"/>
    <mergeCell ref="A4:A5"/>
    <mergeCell ref="B4:B5"/>
    <mergeCell ref="C4:C5"/>
    <mergeCell ref="D4:D5"/>
    <mergeCell ref="E4:E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8" r:id="rId1"/>
  <headerFooter alignWithMargins="0">
    <oddFooter>&amp;R&amp;20&amp;P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showGridLines="0" view="pageBreakPreview" zoomScale="55" zoomScaleNormal="70" zoomScaleSheetLayoutView="55" zoomScalePageLayoutView="0" workbookViewId="0" topLeftCell="A1">
      <pane xSplit="2" ySplit="7" topLeftCell="C47" activePane="bottomRight" state="frozen"/>
      <selection pane="topLeft" activeCell="G1" sqref="G1:S65536"/>
      <selection pane="topRight" activeCell="G1" sqref="G1:S65536"/>
      <selection pane="bottomLeft" activeCell="G1" sqref="G1:S65536"/>
      <selection pane="bottomRight" activeCell="G1" sqref="G1:S65536"/>
    </sheetView>
  </sheetViews>
  <sheetFormatPr defaultColWidth="9.00390625" defaultRowHeight="12.75"/>
  <cols>
    <col min="1" max="1" width="9.125" style="2" customWidth="1"/>
    <col min="2" max="2" width="125.875" style="2" customWidth="1"/>
    <col min="3" max="3" width="25.75390625" style="2" customWidth="1"/>
    <col min="4" max="4" width="26.875" style="2" customWidth="1"/>
    <col min="5" max="5" width="25.125" style="2" customWidth="1"/>
    <col min="6" max="6" width="20.75390625" style="2" customWidth="1"/>
    <col min="7" max="16384" width="9.125" style="2" customWidth="1"/>
  </cols>
  <sheetData>
    <row r="1" spans="1:6" s="48" customFormat="1" ht="38.25" customHeight="1">
      <c r="A1" s="152" t="str">
        <f>NFZ!A1</f>
        <v>ZMIANA PLANU NARODOWEGO FUNDUSZU ZDROWIA NA 2014 R. Z DNIA 30 GRUDNIA 2014 R.</v>
      </c>
      <c r="B1" s="152"/>
      <c r="C1" s="152"/>
      <c r="D1" s="152"/>
      <c r="E1" s="152"/>
      <c r="F1" s="152"/>
    </row>
    <row r="2" spans="1:3" s="50" customFormat="1" ht="33" customHeight="1">
      <c r="A2" s="88" t="s">
        <v>75</v>
      </c>
      <c r="B2" s="88"/>
      <c r="C2" s="94"/>
    </row>
    <row r="3" spans="1:6" ht="33" customHeight="1">
      <c r="A3" s="8"/>
      <c r="B3" s="9"/>
      <c r="C3" s="87"/>
      <c r="D3" s="87"/>
      <c r="E3" s="87" t="s">
        <v>159</v>
      </c>
      <c r="F3" s="10"/>
    </row>
    <row r="4" spans="1:6" s="6" customFormat="1" ht="45" customHeight="1">
      <c r="A4" s="149" t="s">
        <v>132</v>
      </c>
      <c r="B4" s="149" t="s">
        <v>55</v>
      </c>
      <c r="C4" s="150" t="s">
        <v>236</v>
      </c>
      <c r="D4" s="150" t="s">
        <v>191</v>
      </c>
      <c r="E4" s="153" t="s">
        <v>192</v>
      </c>
      <c r="F4" s="153" t="s">
        <v>193</v>
      </c>
    </row>
    <row r="5" spans="1:6" s="6" customFormat="1" ht="45" customHeight="1">
      <c r="A5" s="149"/>
      <c r="B5" s="149"/>
      <c r="C5" s="151"/>
      <c r="D5" s="151"/>
      <c r="E5" s="153"/>
      <c r="F5" s="153"/>
    </row>
    <row r="6" spans="1:6" s="4" customFormat="1" ht="14.25">
      <c r="A6" s="47">
        <v>1</v>
      </c>
      <c r="B6" s="52">
        <v>2</v>
      </c>
      <c r="C6" s="47">
        <v>3</v>
      </c>
      <c r="D6" s="52">
        <v>4</v>
      </c>
      <c r="E6" s="47">
        <v>5</v>
      </c>
      <c r="F6" s="52">
        <v>6</v>
      </c>
    </row>
    <row r="7" spans="1:6" s="3" customFormat="1" ht="30" customHeight="1">
      <c r="A7" s="23" t="s">
        <v>0</v>
      </c>
      <c r="B7" s="39" t="s">
        <v>248</v>
      </c>
      <c r="C7" s="16">
        <f>C8+C9+C10+C15+C16+C17+C18+C19+C20+C21+C22+C23+C24+C25+C29+C30+C32+C33</f>
        <v>2287251</v>
      </c>
      <c r="D7" s="16">
        <f>D8+D9+D10+D15+D16+D17+D18+D19+D20+D21+D22+D23+D24+D25+D29+D30+D32+D33</f>
        <v>2289616</v>
      </c>
      <c r="E7" s="13">
        <f>IF(C7=D7,"-",D7-C7)</f>
        <v>2365</v>
      </c>
      <c r="F7" s="95">
        <f>IF(C7=0,"-",D7/C7)</f>
        <v>1.001</v>
      </c>
    </row>
    <row r="8" spans="1:6" ht="33" customHeight="1">
      <c r="A8" s="29" t="s">
        <v>1</v>
      </c>
      <c r="B8" s="35" t="s">
        <v>133</v>
      </c>
      <c r="C8" s="81">
        <v>281220</v>
      </c>
      <c r="D8" s="25">
        <f>C8</f>
        <v>281220</v>
      </c>
      <c r="E8" s="96" t="str">
        <f aca="true" t="shared" si="0" ref="E8:E64">IF(C8=D8,"-",D8-C8)</f>
        <v>-</v>
      </c>
      <c r="F8" s="97">
        <f aca="true" t="shared" si="1" ref="F8:F64">IF(C8=0,"-",D8/C8)</f>
        <v>1</v>
      </c>
    </row>
    <row r="9" spans="1:6" ht="33" customHeight="1">
      <c r="A9" s="29" t="s">
        <v>2</v>
      </c>
      <c r="B9" s="35" t="s">
        <v>134</v>
      </c>
      <c r="C9" s="81">
        <v>203053</v>
      </c>
      <c r="D9" s="25">
        <f aca="true" t="shared" si="2" ref="D9:D33">C9</f>
        <v>203053</v>
      </c>
      <c r="E9" s="96" t="str">
        <f t="shared" si="0"/>
        <v>-</v>
      </c>
      <c r="F9" s="97">
        <f t="shared" si="1"/>
        <v>1</v>
      </c>
    </row>
    <row r="10" spans="1:6" ht="33" customHeight="1">
      <c r="A10" s="29" t="s">
        <v>3</v>
      </c>
      <c r="B10" s="35" t="s">
        <v>131</v>
      </c>
      <c r="C10" s="81">
        <v>1106404</v>
      </c>
      <c r="D10" s="25">
        <f>C10+2365</f>
        <v>1108769</v>
      </c>
      <c r="E10" s="96">
        <f t="shared" si="0"/>
        <v>2365</v>
      </c>
      <c r="F10" s="97">
        <f t="shared" si="1"/>
        <v>1.0021</v>
      </c>
    </row>
    <row r="11" spans="1:6" ht="31.5" customHeight="1">
      <c r="A11" s="28" t="s">
        <v>57</v>
      </c>
      <c r="B11" s="34" t="s">
        <v>160</v>
      </c>
      <c r="C11" s="81">
        <v>89149</v>
      </c>
      <c r="D11" s="25">
        <f t="shared" si="2"/>
        <v>89149</v>
      </c>
      <c r="E11" s="96" t="str">
        <f t="shared" si="0"/>
        <v>-</v>
      </c>
      <c r="F11" s="97">
        <f t="shared" si="1"/>
        <v>1</v>
      </c>
    </row>
    <row r="12" spans="1:6" ht="31.5" customHeight="1">
      <c r="A12" s="28" t="s">
        <v>161</v>
      </c>
      <c r="B12" s="34" t="s">
        <v>164</v>
      </c>
      <c r="C12" s="81">
        <v>83209</v>
      </c>
      <c r="D12" s="25">
        <f t="shared" si="2"/>
        <v>83209</v>
      </c>
      <c r="E12" s="96" t="str">
        <f t="shared" si="0"/>
        <v>-</v>
      </c>
      <c r="F12" s="97">
        <f t="shared" si="1"/>
        <v>1</v>
      </c>
    </row>
    <row r="13" spans="1:6" ht="31.5" customHeight="1">
      <c r="A13" s="28" t="s">
        <v>162</v>
      </c>
      <c r="B13" s="34" t="s">
        <v>165</v>
      </c>
      <c r="C13" s="81">
        <v>45367</v>
      </c>
      <c r="D13" s="25">
        <f t="shared" si="2"/>
        <v>45367</v>
      </c>
      <c r="E13" s="96" t="str">
        <f t="shared" si="0"/>
        <v>-</v>
      </c>
      <c r="F13" s="97">
        <f t="shared" si="1"/>
        <v>1</v>
      </c>
    </row>
    <row r="14" spans="1:6" ht="31.5" customHeight="1">
      <c r="A14" s="28" t="s">
        <v>163</v>
      </c>
      <c r="B14" s="34" t="s">
        <v>166</v>
      </c>
      <c r="C14" s="81">
        <v>20754</v>
      </c>
      <c r="D14" s="25">
        <f t="shared" si="2"/>
        <v>20754</v>
      </c>
      <c r="E14" s="96" t="str">
        <f t="shared" si="0"/>
        <v>-</v>
      </c>
      <c r="F14" s="97">
        <f t="shared" si="1"/>
        <v>1</v>
      </c>
    </row>
    <row r="15" spans="1:6" ht="33" customHeight="1">
      <c r="A15" s="29" t="s">
        <v>4</v>
      </c>
      <c r="B15" s="35" t="s">
        <v>139</v>
      </c>
      <c r="C15" s="81">
        <v>87781</v>
      </c>
      <c r="D15" s="25">
        <f t="shared" si="2"/>
        <v>87781</v>
      </c>
      <c r="E15" s="96" t="str">
        <f t="shared" si="0"/>
        <v>-</v>
      </c>
      <c r="F15" s="97">
        <f t="shared" si="1"/>
        <v>1</v>
      </c>
    </row>
    <row r="16" spans="1:6" ht="33" customHeight="1">
      <c r="A16" s="29" t="s">
        <v>5</v>
      </c>
      <c r="B16" s="35" t="s">
        <v>135</v>
      </c>
      <c r="C16" s="81">
        <v>71568</v>
      </c>
      <c r="D16" s="25">
        <f t="shared" si="2"/>
        <v>71568</v>
      </c>
      <c r="E16" s="96" t="str">
        <f t="shared" si="0"/>
        <v>-</v>
      </c>
      <c r="F16" s="97">
        <f t="shared" si="1"/>
        <v>1</v>
      </c>
    </row>
    <row r="17" spans="1:6" ht="33" customHeight="1">
      <c r="A17" s="29" t="s">
        <v>6</v>
      </c>
      <c r="B17" s="35" t="s">
        <v>141</v>
      </c>
      <c r="C17" s="81">
        <v>35057</v>
      </c>
      <c r="D17" s="25">
        <f t="shared" si="2"/>
        <v>35057</v>
      </c>
      <c r="E17" s="96" t="str">
        <f t="shared" si="0"/>
        <v>-</v>
      </c>
      <c r="F17" s="97">
        <f t="shared" si="1"/>
        <v>1</v>
      </c>
    </row>
    <row r="18" spans="1:6" ht="33" customHeight="1">
      <c r="A18" s="29" t="s">
        <v>7</v>
      </c>
      <c r="B18" s="35" t="s">
        <v>140</v>
      </c>
      <c r="C18" s="81">
        <v>15349</v>
      </c>
      <c r="D18" s="25">
        <f t="shared" si="2"/>
        <v>15349</v>
      </c>
      <c r="E18" s="96" t="str">
        <f t="shared" si="0"/>
        <v>-</v>
      </c>
      <c r="F18" s="97">
        <f t="shared" si="1"/>
        <v>1</v>
      </c>
    </row>
    <row r="19" spans="1:6" ht="33" customHeight="1">
      <c r="A19" s="29" t="s">
        <v>8</v>
      </c>
      <c r="B19" s="35" t="s">
        <v>136</v>
      </c>
      <c r="C19" s="81">
        <v>83648</v>
      </c>
      <c r="D19" s="25">
        <f t="shared" si="2"/>
        <v>83648</v>
      </c>
      <c r="E19" s="96" t="str">
        <f t="shared" si="0"/>
        <v>-</v>
      </c>
      <c r="F19" s="97">
        <f t="shared" si="1"/>
        <v>1</v>
      </c>
    </row>
    <row r="20" spans="1:6" ht="33" customHeight="1">
      <c r="A20" s="29" t="s">
        <v>9</v>
      </c>
      <c r="B20" s="35" t="s">
        <v>137</v>
      </c>
      <c r="C20" s="81">
        <v>19676</v>
      </c>
      <c r="D20" s="25">
        <f t="shared" si="2"/>
        <v>19676</v>
      </c>
      <c r="E20" s="96" t="str">
        <f t="shared" si="0"/>
        <v>-</v>
      </c>
      <c r="F20" s="97">
        <f t="shared" si="1"/>
        <v>1</v>
      </c>
    </row>
    <row r="21" spans="1:6" ht="33" customHeight="1">
      <c r="A21" s="29" t="s">
        <v>10</v>
      </c>
      <c r="B21" s="35" t="s">
        <v>142</v>
      </c>
      <c r="C21" s="81">
        <v>2900</v>
      </c>
      <c r="D21" s="25">
        <f t="shared" si="2"/>
        <v>2900</v>
      </c>
      <c r="E21" s="96" t="str">
        <f t="shared" si="0"/>
        <v>-</v>
      </c>
      <c r="F21" s="97">
        <f t="shared" si="1"/>
        <v>1</v>
      </c>
    </row>
    <row r="22" spans="1:6" ht="46.5" customHeight="1">
      <c r="A22" s="29" t="s">
        <v>11</v>
      </c>
      <c r="B22" s="35" t="s">
        <v>138</v>
      </c>
      <c r="C22" s="81">
        <v>6536</v>
      </c>
      <c r="D22" s="25">
        <f t="shared" si="2"/>
        <v>6536</v>
      </c>
      <c r="E22" s="96" t="str">
        <f t="shared" si="0"/>
        <v>-</v>
      </c>
      <c r="F22" s="97">
        <f t="shared" si="1"/>
        <v>1</v>
      </c>
    </row>
    <row r="23" spans="1:6" ht="33" customHeight="1">
      <c r="A23" s="29" t="s">
        <v>12</v>
      </c>
      <c r="B23" s="35" t="s">
        <v>185</v>
      </c>
      <c r="C23" s="81">
        <v>64393</v>
      </c>
      <c r="D23" s="25">
        <f t="shared" si="2"/>
        <v>64393</v>
      </c>
      <c r="E23" s="96" t="str">
        <f t="shared" si="0"/>
        <v>-</v>
      </c>
      <c r="F23" s="97">
        <f t="shared" si="1"/>
        <v>1</v>
      </c>
    </row>
    <row r="24" spans="1:6" ht="33" customHeight="1">
      <c r="A24" s="29" t="s">
        <v>13</v>
      </c>
      <c r="B24" s="35" t="s">
        <v>167</v>
      </c>
      <c r="C24" s="81">
        <v>30500</v>
      </c>
      <c r="D24" s="25">
        <f t="shared" si="2"/>
        <v>30500</v>
      </c>
      <c r="E24" s="96" t="str">
        <f t="shared" si="0"/>
        <v>-</v>
      </c>
      <c r="F24" s="97">
        <f t="shared" si="1"/>
        <v>1</v>
      </c>
    </row>
    <row r="25" spans="1:6" ht="33" customHeight="1">
      <c r="A25" s="30" t="s">
        <v>14</v>
      </c>
      <c r="B25" s="78" t="s">
        <v>249</v>
      </c>
      <c r="C25" s="81">
        <f>SUM(C26:C28)</f>
        <v>266059</v>
      </c>
      <c r="D25" s="81">
        <f>SUM(D26:D28)</f>
        <v>266059</v>
      </c>
      <c r="E25" s="96" t="str">
        <f t="shared" si="0"/>
        <v>-</v>
      </c>
      <c r="F25" s="97">
        <f t="shared" si="1"/>
        <v>1</v>
      </c>
    </row>
    <row r="26" spans="1:6" ht="31.5">
      <c r="A26" s="28" t="s">
        <v>143</v>
      </c>
      <c r="B26" s="34" t="s">
        <v>170</v>
      </c>
      <c r="C26" s="81">
        <v>265389</v>
      </c>
      <c r="D26" s="25">
        <f t="shared" si="2"/>
        <v>265389</v>
      </c>
      <c r="E26" s="96" t="str">
        <f t="shared" si="0"/>
        <v>-</v>
      </c>
      <c r="F26" s="97">
        <f t="shared" si="1"/>
        <v>1</v>
      </c>
    </row>
    <row r="27" spans="1:6" ht="31.5" customHeight="1">
      <c r="A27" s="28" t="s">
        <v>169</v>
      </c>
      <c r="B27" s="34" t="s">
        <v>172</v>
      </c>
      <c r="C27" s="81">
        <v>520</v>
      </c>
      <c r="D27" s="25">
        <f t="shared" si="2"/>
        <v>520</v>
      </c>
      <c r="E27" s="96" t="str">
        <f t="shared" si="0"/>
        <v>-</v>
      </c>
      <c r="F27" s="97">
        <f t="shared" si="1"/>
        <v>1</v>
      </c>
    </row>
    <row r="28" spans="1:6" ht="31.5" customHeight="1">
      <c r="A28" s="28" t="s">
        <v>173</v>
      </c>
      <c r="B28" s="34" t="s">
        <v>171</v>
      </c>
      <c r="C28" s="81">
        <v>150</v>
      </c>
      <c r="D28" s="25">
        <f t="shared" si="2"/>
        <v>150</v>
      </c>
      <c r="E28" s="96" t="str">
        <f t="shared" si="0"/>
        <v>-</v>
      </c>
      <c r="F28" s="97">
        <f t="shared" si="1"/>
        <v>1</v>
      </c>
    </row>
    <row r="29" spans="1:6" ht="33" customHeight="1">
      <c r="A29" s="31" t="s">
        <v>15</v>
      </c>
      <c r="B29" s="36" t="s">
        <v>122</v>
      </c>
      <c r="C29" s="81">
        <v>0</v>
      </c>
      <c r="D29" s="25">
        <f t="shared" si="2"/>
        <v>0</v>
      </c>
      <c r="E29" s="96" t="str">
        <f t="shared" si="0"/>
        <v>-</v>
      </c>
      <c r="F29" s="97" t="str">
        <f t="shared" si="1"/>
        <v>-</v>
      </c>
    </row>
    <row r="30" spans="1:6" ht="33" customHeight="1">
      <c r="A30" s="31" t="s">
        <v>119</v>
      </c>
      <c r="B30" s="37" t="s">
        <v>174</v>
      </c>
      <c r="C30" s="81">
        <v>0</v>
      </c>
      <c r="D30" s="25">
        <f t="shared" si="2"/>
        <v>0</v>
      </c>
      <c r="E30" s="96" t="str">
        <f t="shared" si="0"/>
        <v>-</v>
      </c>
      <c r="F30" s="97" t="str">
        <f t="shared" si="1"/>
        <v>-</v>
      </c>
    </row>
    <row r="31" spans="1:6" ht="31.5" customHeight="1">
      <c r="A31" s="28" t="s">
        <v>175</v>
      </c>
      <c r="B31" s="34" t="s">
        <v>187</v>
      </c>
      <c r="C31" s="81">
        <v>0</v>
      </c>
      <c r="D31" s="25">
        <f t="shared" si="2"/>
        <v>0</v>
      </c>
      <c r="E31" s="96" t="str">
        <f t="shared" si="0"/>
        <v>-</v>
      </c>
      <c r="F31" s="97" t="str">
        <f t="shared" si="1"/>
        <v>-</v>
      </c>
    </row>
    <row r="32" spans="1:6" ht="33" customHeight="1">
      <c r="A32" s="31" t="s">
        <v>120</v>
      </c>
      <c r="B32" s="37" t="s">
        <v>123</v>
      </c>
      <c r="C32" s="81">
        <v>0</v>
      </c>
      <c r="D32" s="25">
        <f t="shared" si="2"/>
        <v>0</v>
      </c>
      <c r="E32" s="96" t="str">
        <f t="shared" si="0"/>
        <v>-</v>
      </c>
      <c r="F32" s="97" t="str">
        <f t="shared" si="1"/>
        <v>-</v>
      </c>
    </row>
    <row r="33" spans="1:6" ht="33" customHeight="1">
      <c r="A33" s="31" t="s">
        <v>121</v>
      </c>
      <c r="B33" s="37" t="s">
        <v>186</v>
      </c>
      <c r="C33" s="81">
        <v>13107</v>
      </c>
      <c r="D33" s="25">
        <f t="shared" si="2"/>
        <v>13107</v>
      </c>
      <c r="E33" s="96" t="str">
        <f t="shared" si="0"/>
        <v>-</v>
      </c>
      <c r="F33" s="97">
        <f t="shared" si="1"/>
        <v>1</v>
      </c>
    </row>
    <row r="34" spans="1:6" ht="51.75" customHeight="1">
      <c r="A34" s="31" t="s">
        <v>246</v>
      </c>
      <c r="B34" s="37" t="s">
        <v>247</v>
      </c>
      <c r="C34" s="81">
        <v>0</v>
      </c>
      <c r="D34" s="25">
        <f>C34</f>
        <v>0</v>
      </c>
      <c r="E34" s="96" t="str">
        <f>IF(C34=D34,"-",D34-C34)</f>
        <v>-</v>
      </c>
      <c r="F34" s="97" t="str">
        <f>IF(C34=0,"-",D34/C34)</f>
        <v>-</v>
      </c>
    </row>
    <row r="35" spans="1:6" s="5" customFormat="1" ht="31.5" customHeight="1">
      <c r="A35" s="32" t="s">
        <v>59</v>
      </c>
      <c r="B35" s="38" t="s">
        <v>60</v>
      </c>
      <c r="C35" s="84">
        <v>0</v>
      </c>
      <c r="D35" s="92">
        <f>C35</f>
        <v>0</v>
      </c>
      <c r="E35" s="15" t="str">
        <f t="shared" si="0"/>
        <v>-</v>
      </c>
      <c r="F35" s="98" t="str">
        <f t="shared" si="1"/>
        <v>-</v>
      </c>
    </row>
    <row r="36" spans="1:6" s="5" customFormat="1" ht="31.5" customHeight="1">
      <c r="A36" s="32" t="s">
        <v>58</v>
      </c>
      <c r="B36" s="38" t="s">
        <v>61</v>
      </c>
      <c r="C36" s="84">
        <v>91824</v>
      </c>
      <c r="D36" s="93">
        <f>C36</f>
        <v>91824</v>
      </c>
      <c r="E36" s="15" t="str">
        <f t="shared" si="0"/>
        <v>-</v>
      </c>
      <c r="F36" s="98">
        <f t="shared" si="1"/>
        <v>1</v>
      </c>
    </row>
    <row r="37" spans="1:6" s="5" customFormat="1" ht="42.75" customHeight="1">
      <c r="A37" s="32" t="s">
        <v>176</v>
      </c>
      <c r="B37" s="38" t="s">
        <v>177</v>
      </c>
      <c r="C37" s="84">
        <v>370022</v>
      </c>
      <c r="D37" s="84">
        <f>D12+D14+D25+D31</f>
        <v>370022</v>
      </c>
      <c r="E37" s="15" t="str">
        <f t="shared" si="0"/>
        <v>-</v>
      </c>
      <c r="F37" s="98">
        <f t="shared" si="1"/>
        <v>1</v>
      </c>
    </row>
    <row r="38" spans="1:6" s="3" customFormat="1" ht="30" customHeight="1">
      <c r="A38" s="26" t="s">
        <v>16</v>
      </c>
      <c r="B38" s="46" t="s">
        <v>250</v>
      </c>
      <c r="C38" s="24">
        <f>C39+C40+C41+C49+C51+C57+C58+C56</f>
        <v>18781</v>
      </c>
      <c r="D38" s="24">
        <f>D39+D40+D41+D49+D51+D57+D58+D56</f>
        <v>18781</v>
      </c>
      <c r="E38" s="13" t="str">
        <f t="shared" si="0"/>
        <v>-</v>
      </c>
      <c r="F38" s="99">
        <f t="shared" si="1"/>
        <v>1</v>
      </c>
    </row>
    <row r="39" spans="1:6" ht="28.5" customHeight="1">
      <c r="A39" s="31" t="s">
        <v>17</v>
      </c>
      <c r="B39" s="40" t="s">
        <v>18</v>
      </c>
      <c r="C39" s="81">
        <v>798</v>
      </c>
      <c r="D39" s="85">
        <f>C39</f>
        <v>798</v>
      </c>
      <c r="E39" s="96" t="str">
        <f t="shared" si="0"/>
        <v>-</v>
      </c>
      <c r="F39" s="97">
        <f t="shared" si="1"/>
        <v>1</v>
      </c>
    </row>
    <row r="40" spans="1:6" ht="28.5" customHeight="1">
      <c r="A40" s="31" t="s">
        <v>19</v>
      </c>
      <c r="B40" s="40" t="s">
        <v>20</v>
      </c>
      <c r="C40" s="81">
        <v>2000</v>
      </c>
      <c r="D40" s="85">
        <f>C40</f>
        <v>2000</v>
      </c>
      <c r="E40" s="96" t="str">
        <f t="shared" si="0"/>
        <v>-</v>
      </c>
      <c r="F40" s="97">
        <f t="shared" si="1"/>
        <v>1</v>
      </c>
    </row>
    <row r="41" spans="1:6" ht="28.5" customHeight="1">
      <c r="A41" s="31" t="s">
        <v>21</v>
      </c>
      <c r="B41" s="41" t="s">
        <v>251</v>
      </c>
      <c r="C41" s="85">
        <f>C42+C44+C45+C46+C47+C48</f>
        <v>105</v>
      </c>
      <c r="D41" s="85">
        <f>D42+D44+D45+D46+D47+D48</f>
        <v>105</v>
      </c>
      <c r="E41" s="96" t="str">
        <f t="shared" si="0"/>
        <v>-</v>
      </c>
      <c r="F41" s="97">
        <f t="shared" si="1"/>
        <v>1</v>
      </c>
    </row>
    <row r="42" spans="1:6" ht="28.5" customHeight="1">
      <c r="A42" s="42" t="s">
        <v>39</v>
      </c>
      <c r="B42" s="43" t="s">
        <v>32</v>
      </c>
      <c r="C42" s="81">
        <v>29</v>
      </c>
      <c r="D42" s="85">
        <f>C42</f>
        <v>29</v>
      </c>
      <c r="E42" s="96" t="str">
        <f t="shared" si="0"/>
        <v>-</v>
      </c>
      <c r="F42" s="97">
        <f t="shared" si="1"/>
        <v>1</v>
      </c>
    </row>
    <row r="43" spans="1:6" ht="28.5" customHeight="1">
      <c r="A43" s="42" t="s">
        <v>40</v>
      </c>
      <c r="B43" s="44" t="s">
        <v>33</v>
      </c>
      <c r="C43" s="81">
        <v>26</v>
      </c>
      <c r="D43" s="85">
        <f>C43</f>
        <v>26</v>
      </c>
      <c r="E43" s="96" t="str">
        <f t="shared" si="0"/>
        <v>-</v>
      </c>
      <c r="F43" s="97">
        <f t="shared" si="1"/>
        <v>1</v>
      </c>
    </row>
    <row r="44" spans="1:6" ht="28.5" customHeight="1">
      <c r="A44" s="42" t="s">
        <v>41</v>
      </c>
      <c r="B44" s="43" t="s">
        <v>34</v>
      </c>
      <c r="C44" s="81">
        <v>2</v>
      </c>
      <c r="D44" s="85">
        <f>C44</f>
        <v>2</v>
      </c>
      <c r="E44" s="96" t="str">
        <f t="shared" si="0"/>
        <v>-</v>
      </c>
      <c r="F44" s="97">
        <f t="shared" si="1"/>
        <v>1</v>
      </c>
    </row>
    <row r="45" spans="1:6" ht="28.5" customHeight="1">
      <c r="A45" s="42" t="s">
        <v>42</v>
      </c>
      <c r="B45" s="43" t="s">
        <v>35</v>
      </c>
      <c r="C45" s="81">
        <v>0</v>
      </c>
      <c r="D45" s="85">
        <f aca="true" t="shared" si="3" ref="D45:D57">C45</f>
        <v>0</v>
      </c>
      <c r="E45" s="96" t="str">
        <f t="shared" si="0"/>
        <v>-</v>
      </c>
      <c r="F45" s="97" t="str">
        <f t="shared" si="1"/>
        <v>-</v>
      </c>
    </row>
    <row r="46" spans="1:6" ht="28.5" customHeight="1">
      <c r="A46" s="42" t="s">
        <v>43</v>
      </c>
      <c r="B46" s="43" t="s">
        <v>36</v>
      </c>
      <c r="C46" s="81">
        <v>0</v>
      </c>
      <c r="D46" s="85">
        <f t="shared" si="3"/>
        <v>0</v>
      </c>
      <c r="E46" s="96" t="str">
        <f t="shared" si="0"/>
        <v>-</v>
      </c>
      <c r="F46" s="97" t="str">
        <f t="shared" si="1"/>
        <v>-</v>
      </c>
    </row>
    <row r="47" spans="1:6" ht="28.5" customHeight="1">
      <c r="A47" s="42" t="s">
        <v>44</v>
      </c>
      <c r="B47" s="43" t="s">
        <v>37</v>
      </c>
      <c r="C47" s="81">
        <v>71</v>
      </c>
      <c r="D47" s="85">
        <f t="shared" si="3"/>
        <v>71</v>
      </c>
      <c r="E47" s="96" t="str">
        <f t="shared" si="0"/>
        <v>-</v>
      </c>
      <c r="F47" s="97">
        <f t="shared" si="1"/>
        <v>1</v>
      </c>
    </row>
    <row r="48" spans="1:6" ht="28.5" customHeight="1">
      <c r="A48" s="42" t="s">
        <v>45</v>
      </c>
      <c r="B48" s="43" t="s">
        <v>38</v>
      </c>
      <c r="C48" s="81">
        <v>3</v>
      </c>
      <c r="D48" s="85">
        <f t="shared" si="3"/>
        <v>3</v>
      </c>
      <c r="E48" s="96" t="str">
        <f t="shared" si="0"/>
        <v>-</v>
      </c>
      <c r="F48" s="97">
        <f t="shared" si="1"/>
        <v>1</v>
      </c>
    </row>
    <row r="49" spans="1:6" ht="28.5" customHeight="1">
      <c r="A49" s="31" t="s">
        <v>22</v>
      </c>
      <c r="B49" s="40" t="s">
        <v>178</v>
      </c>
      <c r="C49" s="81">
        <v>10841</v>
      </c>
      <c r="D49" s="85">
        <f t="shared" si="3"/>
        <v>10841</v>
      </c>
      <c r="E49" s="96" t="str">
        <f t="shared" si="0"/>
        <v>-</v>
      </c>
      <c r="F49" s="97">
        <f t="shared" si="1"/>
        <v>1</v>
      </c>
    </row>
    <row r="50" spans="1:6" ht="28.5" customHeight="1">
      <c r="A50" s="42" t="s">
        <v>179</v>
      </c>
      <c r="B50" s="43" t="s">
        <v>180</v>
      </c>
      <c r="C50" s="81">
        <v>39</v>
      </c>
      <c r="D50" s="85">
        <f>C50</f>
        <v>39</v>
      </c>
      <c r="E50" s="96" t="str">
        <f t="shared" si="0"/>
        <v>-</v>
      </c>
      <c r="F50" s="97">
        <f t="shared" si="1"/>
        <v>1</v>
      </c>
    </row>
    <row r="51" spans="1:6" ht="28.5" customHeight="1">
      <c r="A51" s="31" t="s">
        <v>23</v>
      </c>
      <c r="B51" s="41" t="s">
        <v>252</v>
      </c>
      <c r="C51" s="77">
        <f>C52+C53+C54+C55</f>
        <v>2398</v>
      </c>
      <c r="D51" s="77">
        <f>D52+D53+D54+D55</f>
        <v>2398</v>
      </c>
      <c r="E51" s="96" t="str">
        <f t="shared" si="0"/>
        <v>-</v>
      </c>
      <c r="F51" s="97">
        <f t="shared" si="1"/>
        <v>1</v>
      </c>
    </row>
    <row r="52" spans="1:6" ht="28.5" customHeight="1">
      <c r="A52" s="42" t="s">
        <v>50</v>
      </c>
      <c r="B52" s="43" t="s">
        <v>46</v>
      </c>
      <c r="C52" s="81">
        <v>1864</v>
      </c>
      <c r="D52" s="85">
        <f t="shared" si="3"/>
        <v>1864</v>
      </c>
      <c r="E52" s="96" t="str">
        <f t="shared" si="0"/>
        <v>-</v>
      </c>
      <c r="F52" s="97">
        <f t="shared" si="1"/>
        <v>1</v>
      </c>
    </row>
    <row r="53" spans="1:6" ht="28.5" customHeight="1">
      <c r="A53" s="42" t="s">
        <v>51</v>
      </c>
      <c r="B53" s="43" t="s">
        <v>47</v>
      </c>
      <c r="C53" s="81">
        <v>245</v>
      </c>
      <c r="D53" s="85">
        <f t="shared" si="3"/>
        <v>245</v>
      </c>
      <c r="E53" s="96" t="str">
        <f t="shared" si="0"/>
        <v>-</v>
      </c>
      <c r="F53" s="97">
        <f t="shared" si="1"/>
        <v>1</v>
      </c>
    </row>
    <row r="54" spans="1:6" ht="28.5" customHeight="1">
      <c r="A54" s="42" t="s">
        <v>52</v>
      </c>
      <c r="B54" s="43" t="s">
        <v>48</v>
      </c>
      <c r="C54" s="81">
        <v>0</v>
      </c>
      <c r="D54" s="85">
        <f t="shared" si="3"/>
        <v>0</v>
      </c>
      <c r="E54" s="96" t="str">
        <f t="shared" si="0"/>
        <v>-</v>
      </c>
      <c r="F54" s="97" t="str">
        <f t="shared" si="1"/>
        <v>-</v>
      </c>
    </row>
    <row r="55" spans="1:6" ht="28.5" customHeight="1">
      <c r="A55" s="42" t="s">
        <v>53</v>
      </c>
      <c r="B55" s="43" t="s">
        <v>49</v>
      </c>
      <c r="C55" s="81">
        <v>289</v>
      </c>
      <c r="D55" s="85">
        <f t="shared" si="3"/>
        <v>289</v>
      </c>
      <c r="E55" s="96" t="str">
        <f t="shared" si="0"/>
        <v>-</v>
      </c>
      <c r="F55" s="97">
        <f t="shared" si="1"/>
        <v>1</v>
      </c>
    </row>
    <row r="56" spans="1:6" ht="28.5" customHeight="1">
      <c r="A56" s="31" t="s">
        <v>24</v>
      </c>
      <c r="B56" s="40" t="s">
        <v>25</v>
      </c>
      <c r="C56" s="81">
        <v>0</v>
      </c>
      <c r="D56" s="85">
        <f t="shared" si="3"/>
        <v>0</v>
      </c>
      <c r="E56" s="96" t="str">
        <f t="shared" si="0"/>
        <v>-</v>
      </c>
      <c r="F56" s="97" t="str">
        <f t="shared" si="1"/>
        <v>-</v>
      </c>
    </row>
    <row r="57" spans="1:6" ht="28.5" customHeight="1">
      <c r="A57" s="31" t="s">
        <v>26</v>
      </c>
      <c r="B57" s="40" t="s">
        <v>181</v>
      </c>
      <c r="C57" s="81">
        <v>2486</v>
      </c>
      <c r="D57" s="85">
        <f t="shared" si="3"/>
        <v>2486</v>
      </c>
      <c r="E57" s="96" t="str">
        <f t="shared" si="0"/>
        <v>-</v>
      </c>
      <c r="F57" s="100">
        <f t="shared" si="1"/>
        <v>1</v>
      </c>
    </row>
    <row r="58" spans="1:6" ht="28.5" customHeight="1">
      <c r="A58" s="31" t="s">
        <v>27</v>
      </c>
      <c r="B58" s="40" t="s">
        <v>28</v>
      </c>
      <c r="C58" s="81">
        <v>153</v>
      </c>
      <c r="D58" s="85">
        <f>C58</f>
        <v>153</v>
      </c>
      <c r="E58" s="96" t="str">
        <f t="shared" si="0"/>
        <v>-</v>
      </c>
      <c r="F58" s="97">
        <f t="shared" si="1"/>
        <v>1</v>
      </c>
    </row>
    <row r="59" spans="1:6" s="3" customFormat="1" ht="30" customHeight="1">
      <c r="A59" s="33" t="s">
        <v>29</v>
      </c>
      <c r="B59" s="45" t="s">
        <v>182</v>
      </c>
      <c r="C59" s="27">
        <f>C60+C61+C62+C63</f>
        <v>8667</v>
      </c>
      <c r="D59" s="27">
        <f>D60+D61+D62+D63</f>
        <v>14693</v>
      </c>
      <c r="E59" s="13">
        <f t="shared" si="0"/>
        <v>6026</v>
      </c>
      <c r="F59" s="101">
        <f t="shared" si="1"/>
        <v>1.6953</v>
      </c>
    </row>
    <row r="60" spans="1:6" ht="42" customHeight="1">
      <c r="A60" s="31" t="s">
        <v>102</v>
      </c>
      <c r="B60" s="40" t="s">
        <v>124</v>
      </c>
      <c r="C60" s="81">
        <v>100</v>
      </c>
      <c r="D60" s="85">
        <f>C60-96</f>
        <v>4</v>
      </c>
      <c r="E60" s="77">
        <f t="shared" si="0"/>
        <v>-96</v>
      </c>
      <c r="F60" s="97">
        <f t="shared" si="1"/>
        <v>0.04</v>
      </c>
    </row>
    <row r="61" spans="1:6" ht="31.5" customHeight="1">
      <c r="A61" s="31" t="s">
        <v>30</v>
      </c>
      <c r="B61" s="40" t="s">
        <v>56</v>
      </c>
      <c r="C61" s="81">
        <v>7830</v>
      </c>
      <c r="D61" s="85">
        <f>C61+5330</f>
        <v>13160</v>
      </c>
      <c r="E61" s="77">
        <f t="shared" si="0"/>
        <v>5330</v>
      </c>
      <c r="F61" s="97">
        <f t="shared" si="1"/>
        <v>1.6807</v>
      </c>
    </row>
    <row r="62" spans="1:6" ht="31.5" customHeight="1">
      <c r="A62" s="31" t="s">
        <v>31</v>
      </c>
      <c r="B62" s="40" t="s">
        <v>104</v>
      </c>
      <c r="C62" s="81">
        <v>0</v>
      </c>
      <c r="D62" s="85">
        <f>C62</f>
        <v>0</v>
      </c>
      <c r="E62" s="77" t="str">
        <f t="shared" si="0"/>
        <v>-</v>
      </c>
      <c r="F62" s="97" t="str">
        <f t="shared" si="1"/>
        <v>-</v>
      </c>
    </row>
    <row r="63" spans="1:6" ht="31.5" customHeight="1">
      <c r="A63" s="31" t="s">
        <v>103</v>
      </c>
      <c r="B63" s="40" t="s">
        <v>105</v>
      </c>
      <c r="C63" s="81">
        <v>737</v>
      </c>
      <c r="D63" s="85">
        <f>C63+792</f>
        <v>1529</v>
      </c>
      <c r="E63" s="77">
        <f t="shared" si="0"/>
        <v>792</v>
      </c>
      <c r="F63" s="97">
        <f t="shared" si="1"/>
        <v>2.0746</v>
      </c>
    </row>
    <row r="64" spans="1:6" ht="32.25" customHeight="1">
      <c r="A64" s="33" t="s">
        <v>110</v>
      </c>
      <c r="B64" s="45" t="s">
        <v>129</v>
      </c>
      <c r="C64" s="27">
        <v>92</v>
      </c>
      <c r="D64" s="27">
        <f>C64+488</f>
        <v>580</v>
      </c>
      <c r="E64" s="13">
        <f t="shared" si="0"/>
        <v>488</v>
      </c>
      <c r="F64" s="101">
        <f t="shared" si="1"/>
        <v>6.3043</v>
      </c>
    </row>
  </sheetData>
  <sheetProtection formatCells="0" formatColumns="0" formatRows="0" insertColumns="0" insertRows="0" insertHyperlinks="0" deleteColumns="0" deleteRows="0"/>
  <mergeCells count="7">
    <mergeCell ref="F4:F5"/>
    <mergeCell ref="A1:F1"/>
    <mergeCell ref="A4:A5"/>
    <mergeCell ref="B4:B5"/>
    <mergeCell ref="C4:C5"/>
    <mergeCell ref="D4:D5"/>
    <mergeCell ref="E4:E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8" r:id="rId1"/>
  <headerFooter alignWithMargins="0">
    <oddFooter>&amp;R&amp;20&amp;P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showGridLines="0" view="pageBreakPreview" zoomScale="55" zoomScaleNormal="70" zoomScaleSheetLayoutView="55" zoomScalePageLayoutView="0" workbookViewId="0" topLeftCell="A1">
      <pane xSplit="2" ySplit="7" topLeftCell="C44" activePane="bottomRight" state="frozen"/>
      <selection pane="topLeft" activeCell="G1" sqref="G1:S65536"/>
      <selection pane="topRight" activeCell="G1" sqref="G1:S65536"/>
      <selection pane="bottomLeft" activeCell="G1" sqref="G1:S65536"/>
      <selection pane="bottomRight" activeCell="G1" sqref="G1:S65536"/>
    </sheetView>
  </sheetViews>
  <sheetFormatPr defaultColWidth="9.00390625" defaultRowHeight="12.75"/>
  <cols>
    <col min="1" max="1" width="9.125" style="2" customWidth="1"/>
    <col min="2" max="2" width="125.875" style="2" customWidth="1"/>
    <col min="3" max="3" width="25.75390625" style="2" customWidth="1"/>
    <col min="4" max="4" width="26.875" style="2" customWidth="1"/>
    <col min="5" max="5" width="25.125" style="2" customWidth="1"/>
    <col min="6" max="6" width="20.75390625" style="2" customWidth="1"/>
    <col min="7" max="16384" width="9.125" style="2" customWidth="1"/>
  </cols>
  <sheetData>
    <row r="1" spans="1:6" s="48" customFormat="1" ht="38.25" customHeight="1">
      <c r="A1" s="152" t="str">
        <f>NFZ!A1</f>
        <v>ZMIANA PLANU NARODOWEGO FUNDUSZU ZDROWIA NA 2014 R. Z DNIA 30 GRUDNIA 2014 R.</v>
      </c>
      <c r="B1" s="152"/>
      <c r="C1" s="152"/>
      <c r="D1" s="152"/>
      <c r="E1" s="152"/>
      <c r="F1" s="152"/>
    </row>
    <row r="2" spans="1:3" s="50" customFormat="1" ht="33" customHeight="1">
      <c r="A2" s="88" t="s">
        <v>76</v>
      </c>
      <c r="B2" s="88"/>
      <c r="C2" s="94"/>
    </row>
    <row r="3" spans="1:6" ht="33" customHeight="1">
      <c r="A3" s="8"/>
      <c r="B3" s="9"/>
      <c r="C3" s="87"/>
      <c r="D3" s="87"/>
      <c r="E3" s="87" t="s">
        <v>159</v>
      </c>
      <c r="F3" s="10"/>
    </row>
    <row r="4" spans="1:6" s="6" customFormat="1" ht="45" customHeight="1">
      <c r="A4" s="149" t="s">
        <v>132</v>
      </c>
      <c r="B4" s="149" t="s">
        <v>55</v>
      </c>
      <c r="C4" s="150" t="s">
        <v>236</v>
      </c>
      <c r="D4" s="150" t="s">
        <v>191</v>
      </c>
      <c r="E4" s="153" t="s">
        <v>192</v>
      </c>
      <c r="F4" s="153" t="s">
        <v>193</v>
      </c>
    </row>
    <row r="5" spans="1:6" s="6" customFormat="1" ht="45" customHeight="1">
      <c r="A5" s="149"/>
      <c r="B5" s="149"/>
      <c r="C5" s="151"/>
      <c r="D5" s="151"/>
      <c r="E5" s="153"/>
      <c r="F5" s="153"/>
    </row>
    <row r="6" spans="1:6" s="4" customFormat="1" ht="14.25">
      <c r="A6" s="47">
        <v>1</v>
      </c>
      <c r="B6" s="52">
        <v>2</v>
      </c>
      <c r="C6" s="47">
        <v>3</v>
      </c>
      <c r="D6" s="52">
        <v>4</v>
      </c>
      <c r="E6" s="47">
        <v>5</v>
      </c>
      <c r="F6" s="52">
        <v>6</v>
      </c>
    </row>
    <row r="7" spans="1:6" s="3" customFormat="1" ht="30" customHeight="1">
      <c r="A7" s="23" t="s">
        <v>0</v>
      </c>
      <c r="B7" s="39" t="s">
        <v>248</v>
      </c>
      <c r="C7" s="16">
        <f>C8+C9+C10+C15+C16+C17+C18+C19+C20+C21+C22+C23+C24+C25+C29+C30+C32+C33</f>
        <v>5623816</v>
      </c>
      <c r="D7" s="16">
        <f>D8+D9+D10+D15+D16+D17+D18+D19+D20+D21+D22+D23+D24+D25+D29+D30+D32+D33</f>
        <v>5629742</v>
      </c>
      <c r="E7" s="13">
        <f>IF(C7=D7,"-",D7-C7)</f>
        <v>5926</v>
      </c>
      <c r="F7" s="95">
        <f>IF(C7=0,"-",D7/C7)</f>
        <v>1.001</v>
      </c>
    </row>
    <row r="8" spans="1:6" ht="33" customHeight="1">
      <c r="A8" s="29" t="s">
        <v>1</v>
      </c>
      <c r="B8" s="35" t="s">
        <v>133</v>
      </c>
      <c r="C8" s="81">
        <v>722500</v>
      </c>
      <c r="D8" s="25">
        <f>C8</f>
        <v>722500</v>
      </c>
      <c r="E8" s="96" t="str">
        <f aca="true" t="shared" si="0" ref="E8:E64">IF(C8=D8,"-",D8-C8)</f>
        <v>-</v>
      </c>
      <c r="F8" s="97">
        <f aca="true" t="shared" si="1" ref="F8:F64">IF(C8=0,"-",D8/C8)</f>
        <v>1</v>
      </c>
    </row>
    <row r="9" spans="1:6" ht="33" customHeight="1">
      <c r="A9" s="29" t="s">
        <v>2</v>
      </c>
      <c r="B9" s="35" t="s">
        <v>134</v>
      </c>
      <c r="C9" s="81">
        <v>481532</v>
      </c>
      <c r="D9" s="25">
        <f aca="true" t="shared" si="2" ref="D9:D33">C9</f>
        <v>481532</v>
      </c>
      <c r="E9" s="96" t="str">
        <f t="shared" si="0"/>
        <v>-</v>
      </c>
      <c r="F9" s="97">
        <f t="shared" si="1"/>
        <v>1</v>
      </c>
    </row>
    <row r="10" spans="1:6" ht="33" customHeight="1">
      <c r="A10" s="29" t="s">
        <v>3</v>
      </c>
      <c r="B10" s="35" t="s">
        <v>131</v>
      </c>
      <c r="C10" s="81">
        <v>2726027</v>
      </c>
      <c r="D10" s="25">
        <f>C10+5926</f>
        <v>2731953</v>
      </c>
      <c r="E10" s="96">
        <f t="shared" si="0"/>
        <v>5926</v>
      </c>
      <c r="F10" s="97">
        <f t="shared" si="1"/>
        <v>1.0022</v>
      </c>
    </row>
    <row r="11" spans="1:6" ht="31.5" customHeight="1">
      <c r="A11" s="28" t="s">
        <v>57</v>
      </c>
      <c r="B11" s="34" t="s">
        <v>160</v>
      </c>
      <c r="C11" s="81">
        <v>223240</v>
      </c>
      <c r="D11" s="25">
        <f t="shared" si="2"/>
        <v>223240</v>
      </c>
      <c r="E11" s="96" t="str">
        <f t="shared" si="0"/>
        <v>-</v>
      </c>
      <c r="F11" s="97">
        <f t="shared" si="1"/>
        <v>1</v>
      </c>
    </row>
    <row r="12" spans="1:6" s="90" customFormat="1" ht="31.5" customHeight="1">
      <c r="A12" s="28" t="s">
        <v>161</v>
      </c>
      <c r="B12" s="34" t="s">
        <v>164</v>
      </c>
      <c r="C12" s="81">
        <v>206869</v>
      </c>
      <c r="D12" s="25">
        <f t="shared" si="2"/>
        <v>206869</v>
      </c>
      <c r="E12" s="96" t="str">
        <f t="shared" si="0"/>
        <v>-</v>
      </c>
      <c r="F12" s="97">
        <f t="shared" si="1"/>
        <v>1</v>
      </c>
    </row>
    <row r="13" spans="1:6" ht="31.5" customHeight="1">
      <c r="A13" s="28" t="s">
        <v>162</v>
      </c>
      <c r="B13" s="34" t="s">
        <v>165</v>
      </c>
      <c r="C13" s="81">
        <v>112777</v>
      </c>
      <c r="D13" s="25">
        <f t="shared" si="2"/>
        <v>112777</v>
      </c>
      <c r="E13" s="96" t="str">
        <f t="shared" si="0"/>
        <v>-</v>
      </c>
      <c r="F13" s="97">
        <f t="shared" si="1"/>
        <v>1</v>
      </c>
    </row>
    <row r="14" spans="1:6" ht="31.5" customHeight="1">
      <c r="A14" s="28" t="s">
        <v>163</v>
      </c>
      <c r="B14" s="34" t="s">
        <v>166</v>
      </c>
      <c r="C14" s="81">
        <v>46654</v>
      </c>
      <c r="D14" s="25">
        <f t="shared" si="2"/>
        <v>46654</v>
      </c>
      <c r="E14" s="96" t="str">
        <f t="shared" si="0"/>
        <v>-</v>
      </c>
      <c r="F14" s="97">
        <f t="shared" si="1"/>
        <v>1</v>
      </c>
    </row>
    <row r="15" spans="1:6" ht="33" customHeight="1">
      <c r="A15" s="29" t="s">
        <v>4</v>
      </c>
      <c r="B15" s="35" t="s">
        <v>139</v>
      </c>
      <c r="C15" s="81">
        <v>200361</v>
      </c>
      <c r="D15" s="25">
        <f t="shared" si="2"/>
        <v>200361</v>
      </c>
      <c r="E15" s="96" t="str">
        <f t="shared" si="0"/>
        <v>-</v>
      </c>
      <c r="F15" s="97">
        <f t="shared" si="1"/>
        <v>1</v>
      </c>
    </row>
    <row r="16" spans="1:6" ht="33" customHeight="1">
      <c r="A16" s="29" t="s">
        <v>5</v>
      </c>
      <c r="B16" s="35" t="s">
        <v>135</v>
      </c>
      <c r="C16" s="81">
        <v>161588</v>
      </c>
      <c r="D16" s="25">
        <f t="shared" si="2"/>
        <v>161588</v>
      </c>
      <c r="E16" s="96" t="str">
        <f t="shared" si="0"/>
        <v>-</v>
      </c>
      <c r="F16" s="97">
        <f t="shared" si="1"/>
        <v>1</v>
      </c>
    </row>
    <row r="17" spans="1:6" ht="33" customHeight="1">
      <c r="A17" s="29" t="s">
        <v>6</v>
      </c>
      <c r="B17" s="35" t="s">
        <v>141</v>
      </c>
      <c r="C17" s="81">
        <v>62392</v>
      </c>
      <c r="D17" s="25">
        <f t="shared" si="2"/>
        <v>62392</v>
      </c>
      <c r="E17" s="96" t="str">
        <f t="shared" si="0"/>
        <v>-</v>
      </c>
      <c r="F17" s="97">
        <f t="shared" si="1"/>
        <v>1</v>
      </c>
    </row>
    <row r="18" spans="1:6" ht="33" customHeight="1">
      <c r="A18" s="29" t="s">
        <v>7</v>
      </c>
      <c r="B18" s="35" t="s">
        <v>140</v>
      </c>
      <c r="C18" s="81">
        <v>41308</v>
      </c>
      <c r="D18" s="25">
        <f t="shared" si="2"/>
        <v>41308</v>
      </c>
      <c r="E18" s="96" t="str">
        <f t="shared" si="0"/>
        <v>-</v>
      </c>
      <c r="F18" s="97">
        <f t="shared" si="1"/>
        <v>1</v>
      </c>
    </row>
    <row r="19" spans="1:6" ht="33" customHeight="1">
      <c r="A19" s="29" t="s">
        <v>8</v>
      </c>
      <c r="B19" s="35" t="s">
        <v>136</v>
      </c>
      <c r="C19" s="81">
        <v>141788</v>
      </c>
      <c r="D19" s="25">
        <f t="shared" si="2"/>
        <v>141788</v>
      </c>
      <c r="E19" s="96" t="str">
        <f t="shared" si="0"/>
        <v>-</v>
      </c>
      <c r="F19" s="97">
        <f t="shared" si="1"/>
        <v>1</v>
      </c>
    </row>
    <row r="20" spans="1:6" ht="33" customHeight="1">
      <c r="A20" s="29" t="s">
        <v>9</v>
      </c>
      <c r="B20" s="35" t="s">
        <v>137</v>
      </c>
      <c r="C20" s="81">
        <v>57000</v>
      </c>
      <c r="D20" s="25">
        <f t="shared" si="2"/>
        <v>57000</v>
      </c>
      <c r="E20" s="96" t="str">
        <f t="shared" si="0"/>
        <v>-</v>
      </c>
      <c r="F20" s="97">
        <f t="shared" si="1"/>
        <v>1</v>
      </c>
    </row>
    <row r="21" spans="1:6" ht="33" customHeight="1">
      <c r="A21" s="29" t="s">
        <v>10</v>
      </c>
      <c r="B21" s="35" t="s">
        <v>142</v>
      </c>
      <c r="C21" s="81">
        <v>3400</v>
      </c>
      <c r="D21" s="25">
        <f t="shared" si="2"/>
        <v>3400</v>
      </c>
      <c r="E21" s="96" t="str">
        <f t="shared" si="0"/>
        <v>-</v>
      </c>
      <c r="F21" s="97">
        <f t="shared" si="1"/>
        <v>1</v>
      </c>
    </row>
    <row r="22" spans="1:6" ht="46.5" customHeight="1">
      <c r="A22" s="29" t="s">
        <v>11</v>
      </c>
      <c r="B22" s="35" t="s">
        <v>138</v>
      </c>
      <c r="C22" s="81">
        <v>14733</v>
      </c>
      <c r="D22" s="25">
        <f t="shared" si="2"/>
        <v>14733</v>
      </c>
      <c r="E22" s="96" t="str">
        <f t="shared" si="0"/>
        <v>-</v>
      </c>
      <c r="F22" s="97">
        <f t="shared" si="1"/>
        <v>1</v>
      </c>
    </row>
    <row r="23" spans="1:6" ht="33" customHeight="1">
      <c r="A23" s="29" t="s">
        <v>12</v>
      </c>
      <c r="B23" s="35" t="s">
        <v>185</v>
      </c>
      <c r="C23" s="81">
        <v>169484</v>
      </c>
      <c r="D23" s="25">
        <f t="shared" si="2"/>
        <v>169484</v>
      </c>
      <c r="E23" s="96" t="str">
        <f t="shared" si="0"/>
        <v>-</v>
      </c>
      <c r="F23" s="97">
        <f t="shared" si="1"/>
        <v>1</v>
      </c>
    </row>
    <row r="24" spans="1:6" ht="33" customHeight="1">
      <c r="A24" s="29" t="s">
        <v>13</v>
      </c>
      <c r="B24" s="35" t="s">
        <v>167</v>
      </c>
      <c r="C24" s="81">
        <v>74000</v>
      </c>
      <c r="D24" s="25">
        <f t="shared" si="2"/>
        <v>74000</v>
      </c>
      <c r="E24" s="96" t="str">
        <f t="shared" si="0"/>
        <v>-</v>
      </c>
      <c r="F24" s="97">
        <f t="shared" si="1"/>
        <v>1</v>
      </c>
    </row>
    <row r="25" spans="1:6" ht="33" customHeight="1">
      <c r="A25" s="30" t="s">
        <v>14</v>
      </c>
      <c r="B25" s="78" t="s">
        <v>249</v>
      </c>
      <c r="C25" s="81">
        <f>SUM(C26:C28)</f>
        <v>694158</v>
      </c>
      <c r="D25" s="81">
        <f>SUM(D26:D28)</f>
        <v>694158</v>
      </c>
      <c r="E25" s="96" t="str">
        <f t="shared" si="0"/>
        <v>-</v>
      </c>
      <c r="F25" s="97">
        <f t="shared" si="1"/>
        <v>1</v>
      </c>
    </row>
    <row r="26" spans="1:6" ht="31.5">
      <c r="A26" s="28" t="s">
        <v>143</v>
      </c>
      <c r="B26" s="34" t="s">
        <v>170</v>
      </c>
      <c r="C26" s="81">
        <v>692708</v>
      </c>
      <c r="D26" s="25">
        <f t="shared" si="2"/>
        <v>692708</v>
      </c>
      <c r="E26" s="96" t="str">
        <f t="shared" si="0"/>
        <v>-</v>
      </c>
      <c r="F26" s="97">
        <f t="shared" si="1"/>
        <v>1</v>
      </c>
    </row>
    <row r="27" spans="1:6" ht="31.5" customHeight="1">
      <c r="A27" s="28" t="s">
        <v>169</v>
      </c>
      <c r="B27" s="34" t="s">
        <v>172</v>
      </c>
      <c r="C27" s="81">
        <v>1100</v>
      </c>
      <c r="D27" s="25">
        <f t="shared" si="2"/>
        <v>1100</v>
      </c>
      <c r="E27" s="96" t="str">
        <f t="shared" si="0"/>
        <v>-</v>
      </c>
      <c r="F27" s="97">
        <f t="shared" si="1"/>
        <v>1</v>
      </c>
    </row>
    <row r="28" spans="1:6" ht="31.5" customHeight="1">
      <c r="A28" s="28" t="s">
        <v>173</v>
      </c>
      <c r="B28" s="34" t="s">
        <v>171</v>
      </c>
      <c r="C28" s="81">
        <v>350</v>
      </c>
      <c r="D28" s="25">
        <f t="shared" si="2"/>
        <v>350</v>
      </c>
      <c r="E28" s="96" t="str">
        <f t="shared" si="0"/>
        <v>-</v>
      </c>
      <c r="F28" s="97">
        <f t="shared" si="1"/>
        <v>1</v>
      </c>
    </row>
    <row r="29" spans="1:6" ht="33" customHeight="1">
      <c r="A29" s="31" t="s">
        <v>15</v>
      </c>
      <c r="B29" s="36" t="s">
        <v>122</v>
      </c>
      <c r="C29" s="81">
        <v>0</v>
      </c>
      <c r="D29" s="25">
        <f t="shared" si="2"/>
        <v>0</v>
      </c>
      <c r="E29" s="96" t="str">
        <f t="shared" si="0"/>
        <v>-</v>
      </c>
      <c r="F29" s="97" t="str">
        <f t="shared" si="1"/>
        <v>-</v>
      </c>
    </row>
    <row r="30" spans="1:6" ht="33" customHeight="1">
      <c r="A30" s="31" t="s">
        <v>119</v>
      </c>
      <c r="B30" s="37" t="s">
        <v>174</v>
      </c>
      <c r="C30" s="81">
        <v>0</v>
      </c>
      <c r="D30" s="25">
        <f t="shared" si="2"/>
        <v>0</v>
      </c>
      <c r="E30" s="96" t="str">
        <f t="shared" si="0"/>
        <v>-</v>
      </c>
      <c r="F30" s="97" t="str">
        <f t="shared" si="1"/>
        <v>-</v>
      </c>
    </row>
    <row r="31" spans="1:6" ht="31.5" customHeight="1">
      <c r="A31" s="28" t="s">
        <v>175</v>
      </c>
      <c r="B31" s="34" t="s">
        <v>187</v>
      </c>
      <c r="C31" s="81">
        <v>0</v>
      </c>
      <c r="D31" s="25">
        <f t="shared" si="2"/>
        <v>0</v>
      </c>
      <c r="E31" s="96" t="str">
        <f t="shared" si="0"/>
        <v>-</v>
      </c>
      <c r="F31" s="97" t="str">
        <f t="shared" si="1"/>
        <v>-</v>
      </c>
    </row>
    <row r="32" spans="1:6" ht="33" customHeight="1">
      <c r="A32" s="31" t="s">
        <v>120</v>
      </c>
      <c r="B32" s="37" t="s">
        <v>123</v>
      </c>
      <c r="C32" s="81">
        <v>0</v>
      </c>
      <c r="D32" s="25">
        <f t="shared" si="2"/>
        <v>0</v>
      </c>
      <c r="E32" s="96" t="str">
        <f t="shared" si="0"/>
        <v>-</v>
      </c>
      <c r="F32" s="97" t="str">
        <f t="shared" si="1"/>
        <v>-</v>
      </c>
    </row>
    <row r="33" spans="1:6" ht="33" customHeight="1">
      <c r="A33" s="31" t="s">
        <v>121</v>
      </c>
      <c r="B33" s="37" t="s">
        <v>186</v>
      </c>
      <c r="C33" s="81">
        <v>73545</v>
      </c>
      <c r="D33" s="25">
        <f t="shared" si="2"/>
        <v>73545</v>
      </c>
      <c r="E33" s="96" t="str">
        <f t="shared" si="0"/>
        <v>-</v>
      </c>
      <c r="F33" s="97">
        <f t="shared" si="1"/>
        <v>1</v>
      </c>
    </row>
    <row r="34" spans="1:6" ht="51.75" customHeight="1">
      <c r="A34" s="31" t="s">
        <v>246</v>
      </c>
      <c r="B34" s="37" t="s">
        <v>247</v>
      </c>
      <c r="C34" s="81">
        <v>0</v>
      </c>
      <c r="D34" s="25">
        <f>C34</f>
        <v>0</v>
      </c>
      <c r="E34" s="96" t="str">
        <f>IF(C34=D34,"-",D34-C34)</f>
        <v>-</v>
      </c>
      <c r="F34" s="97" t="str">
        <f>IF(C34=0,"-",D34/C34)</f>
        <v>-</v>
      </c>
    </row>
    <row r="35" spans="1:6" s="5" customFormat="1" ht="31.5" customHeight="1">
      <c r="A35" s="32" t="s">
        <v>59</v>
      </c>
      <c r="B35" s="38" t="s">
        <v>60</v>
      </c>
      <c r="C35" s="84">
        <v>0</v>
      </c>
      <c r="D35" s="92">
        <f>C35</f>
        <v>0</v>
      </c>
      <c r="E35" s="15" t="str">
        <f t="shared" si="0"/>
        <v>-</v>
      </c>
      <c r="F35" s="98" t="str">
        <f t="shared" si="1"/>
        <v>-</v>
      </c>
    </row>
    <row r="36" spans="1:6" s="5" customFormat="1" ht="31.5" customHeight="1">
      <c r="A36" s="32" t="s">
        <v>58</v>
      </c>
      <c r="B36" s="38" t="s">
        <v>61</v>
      </c>
      <c r="C36" s="84">
        <v>145169</v>
      </c>
      <c r="D36" s="93">
        <f>C36</f>
        <v>145169</v>
      </c>
      <c r="E36" s="15" t="str">
        <f t="shared" si="0"/>
        <v>-</v>
      </c>
      <c r="F36" s="98">
        <f t="shared" si="1"/>
        <v>1</v>
      </c>
    </row>
    <row r="37" spans="1:6" s="5" customFormat="1" ht="42.75" customHeight="1">
      <c r="A37" s="32" t="s">
        <v>176</v>
      </c>
      <c r="B37" s="38" t="s">
        <v>177</v>
      </c>
      <c r="C37" s="84">
        <v>947681</v>
      </c>
      <c r="D37" s="84">
        <f>D12+D14+D25+D31</f>
        <v>947681</v>
      </c>
      <c r="E37" s="15" t="str">
        <f t="shared" si="0"/>
        <v>-</v>
      </c>
      <c r="F37" s="98">
        <f t="shared" si="1"/>
        <v>1</v>
      </c>
    </row>
    <row r="38" spans="1:6" s="3" customFormat="1" ht="30" customHeight="1">
      <c r="A38" s="26" t="s">
        <v>16</v>
      </c>
      <c r="B38" s="46" t="s">
        <v>250</v>
      </c>
      <c r="C38" s="24">
        <f>C39+C40+C41+C49+C51+C57+C58+C56</f>
        <v>43740</v>
      </c>
      <c r="D38" s="24">
        <f>D39+D40+D41+D49+D51+D57+D58+D56</f>
        <v>43740</v>
      </c>
      <c r="E38" s="13" t="str">
        <f t="shared" si="0"/>
        <v>-</v>
      </c>
      <c r="F38" s="99">
        <f t="shared" si="1"/>
        <v>1</v>
      </c>
    </row>
    <row r="39" spans="1:6" ht="28.5" customHeight="1">
      <c r="A39" s="31" t="s">
        <v>17</v>
      </c>
      <c r="B39" s="40" t="s">
        <v>18</v>
      </c>
      <c r="C39" s="81">
        <v>2407</v>
      </c>
      <c r="D39" s="85">
        <f>C39</f>
        <v>2407</v>
      </c>
      <c r="E39" s="96" t="str">
        <f t="shared" si="0"/>
        <v>-</v>
      </c>
      <c r="F39" s="97">
        <f t="shared" si="1"/>
        <v>1</v>
      </c>
    </row>
    <row r="40" spans="1:6" ht="28.5" customHeight="1">
      <c r="A40" s="31" t="s">
        <v>19</v>
      </c>
      <c r="B40" s="40" t="s">
        <v>20</v>
      </c>
      <c r="C40" s="81">
        <v>8290</v>
      </c>
      <c r="D40" s="85">
        <f>C40</f>
        <v>8290</v>
      </c>
      <c r="E40" s="96" t="str">
        <f t="shared" si="0"/>
        <v>-</v>
      </c>
      <c r="F40" s="97">
        <f t="shared" si="1"/>
        <v>1</v>
      </c>
    </row>
    <row r="41" spans="1:6" ht="28.5" customHeight="1">
      <c r="A41" s="31" t="s">
        <v>21</v>
      </c>
      <c r="B41" s="41" t="s">
        <v>251</v>
      </c>
      <c r="C41" s="85">
        <f>C42+C44+C45+C46+C47+C48</f>
        <v>515</v>
      </c>
      <c r="D41" s="85">
        <f>D42+D44+D45+D46+D47+D48</f>
        <v>515</v>
      </c>
      <c r="E41" s="96" t="str">
        <f t="shared" si="0"/>
        <v>-</v>
      </c>
      <c r="F41" s="97">
        <f t="shared" si="1"/>
        <v>1</v>
      </c>
    </row>
    <row r="42" spans="1:6" ht="28.5" customHeight="1">
      <c r="A42" s="42" t="s">
        <v>39</v>
      </c>
      <c r="B42" s="43" t="s">
        <v>32</v>
      </c>
      <c r="C42" s="81">
        <v>48</v>
      </c>
      <c r="D42" s="85">
        <f>C42</f>
        <v>48</v>
      </c>
      <c r="E42" s="96" t="str">
        <f t="shared" si="0"/>
        <v>-</v>
      </c>
      <c r="F42" s="97">
        <f t="shared" si="1"/>
        <v>1</v>
      </c>
    </row>
    <row r="43" spans="1:6" ht="28.5" customHeight="1">
      <c r="A43" s="42" t="s">
        <v>40</v>
      </c>
      <c r="B43" s="44" t="s">
        <v>33</v>
      </c>
      <c r="C43" s="81">
        <v>48</v>
      </c>
      <c r="D43" s="85">
        <f aca="true" t="shared" si="3" ref="D43:D55">C43</f>
        <v>48</v>
      </c>
      <c r="E43" s="96" t="str">
        <f t="shared" si="0"/>
        <v>-</v>
      </c>
      <c r="F43" s="97">
        <f t="shared" si="1"/>
        <v>1</v>
      </c>
    </row>
    <row r="44" spans="1:6" ht="28.5" customHeight="1">
      <c r="A44" s="42" t="s">
        <v>41</v>
      </c>
      <c r="B44" s="43" t="s">
        <v>34</v>
      </c>
      <c r="C44" s="81">
        <v>223</v>
      </c>
      <c r="D44" s="85">
        <f t="shared" si="3"/>
        <v>223</v>
      </c>
      <c r="E44" s="96" t="str">
        <f t="shared" si="0"/>
        <v>-</v>
      </c>
      <c r="F44" s="97">
        <f t="shared" si="1"/>
        <v>1</v>
      </c>
    </row>
    <row r="45" spans="1:6" ht="28.5" customHeight="1">
      <c r="A45" s="42" t="s">
        <v>42</v>
      </c>
      <c r="B45" s="43" t="s">
        <v>35</v>
      </c>
      <c r="C45" s="81">
        <v>0</v>
      </c>
      <c r="D45" s="85">
        <f t="shared" si="3"/>
        <v>0</v>
      </c>
      <c r="E45" s="96" t="str">
        <f t="shared" si="0"/>
        <v>-</v>
      </c>
      <c r="F45" s="97" t="str">
        <f t="shared" si="1"/>
        <v>-</v>
      </c>
    </row>
    <row r="46" spans="1:6" ht="28.5" customHeight="1">
      <c r="A46" s="42" t="s">
        <v>43</v>
      </c>
      <c r="B46" s="43" t="s">
        <v>36</v>
      </c>
      <c r="C46" s="81">
        <v>0</v>
      </c>
      <c r="D46" s="85">
        <f t="shared" si="3"/>
        <v>0</v>
      </c>
      <c r="E46" s="96" t="str">
        <f t="shared" si="0"/>
        <v>-</v>
      </c>
      <c r="F46" s="97" t="str">
        <f t="shared" si="1"/>
        <v>-</v>
      </c>
    </row>
    <row r="47" spans="1:6" ht="28.5" customHeight="1">
      <c r="A47" s="42" t="s">
        <v>44</v>
      </c>
      <c r="B47" s="43" t="s">
        <v>37</v>
      </c>
      <c r="C47" s="81">
        <v>238</v>
      </c>
      <c r="D47" s="85">
        <f t="shared" si="3"/>
        <v>238</v>
      </c>
      <c r="E47" s="96" t="str">
        <f t="shared" si="0"/>
        <v>-</v>
      </c>
      <c r="F47" s="97">
        <f t="shared" si="1"/>
        <v>1</v>
      </c>
    </row>
    <row r="48" spans="1:6" ht="28.5" customHeight="1">
      <c r="A48" s="42" t="s">
        <v>45</v>
      </c>
      <c r="B48" s="43" t="s">
        <v>38</v>
      </c>
      <c r="C48" s="81">
        <v>6</v>
      </c>
      <c r="D48" s="85">
        <f>C48</f>
        <v>6</v>
      </c>
      <c r="E48" s="96" t="str">
        <f t="shared" si="0"/>
        <v>-</v>
      </c>
      <c r="F48" s="97">
        <f t="shared" si="1"/>
        <v>1</v>
      </c>
    </row>
    <row r="49" spans="1:6" ht="28.5" customHeight="1">
      <c r="A49" s="31" t="s">
        <v>22</v>
      </c>
      <c r="B49" s="40" t="s">
        <v>178</v>
      </c>
      <c r="C49" s="81">
        <v>22743</v>
      </c>
      <c r="D49" s="85">
        <f>C49</f>
        <v>22743</v>
      </c>
      <c r="E49" s="96" t="str">
        <f t="shared" si="0"/>
        <v>-</v>
      </c>
      <c r="F49" s="97">
        <f t="shared" si="1"/>
        <v>1</v>
      </c>
    </row>
    <row r="50" spans="1:6" ht="28.5" customHeight="1">
      <c r="A50" s="42" t="s">
        <v>179</v>
      </c>
      <c r="B50" s="43" t="s">
        <v>180</v>
      </c>
      <c r="C50" s="81">
        <v>123</v>
      </c>
      <c r="D50" s="85">
        <f>C50</f>
        <v>123</v>
      </c>
      <c r="E50" s="96" t="str">
        <f t="shared" si="0"/>
        <v>-</v>
      </c>
      <c r="F50" s="97">
        <f t="shared" si="1"/>
        <v>1</v>
      </c>
    </row>
    <row r="51" spans="1:6" ht="28.5" customHeight="1">
      <c r="A51" s="31" t="s">
        <v>23</v>
      </c>
      <c r="B51" s="41" t="s">
        <v>252</v>
      </c>
      <c r="C51" s="77">
        <f>C52+C53+C54+C55</f>
        <v>5036</v>
      </c>
      <c r="D51" s="77">
        <f>D52+D53+D54+D55</f>
        <v>5036</v>
      </c>
      <c r="E51" s="96" t="str">
        <f t="shared" si="0"/>
        <v>-</v>
      </c>
      <c r="F51" s="97">
        <f t="shared" si="1"/>
        <v>1</v>
      </c>
    </row>
    <row r="52" spans="1:6" ht="28.5" customHeight="1">
      <c r="A52" s="42" t="s">
        <v>50</v>
      </c>
      <c r="B52" s="43" t="s">
        <v>46</v>
      </c>
      <c r="C52" s="81">
        <v>3910</v>
      </c>
      <c r="D52" s="85">
        <f t="shared" si="3"/>
        <v>3910</v>
      </c>
      <c r="E52" s="96" t="str">
        <f t="shared" si="0"/>
        <v>-</v>
      </c>
      <c r="F52" s="97">
        <f t="shared" si="1"/>
        <v>1</v>
      </c>
    </row>
    <row r="53" spans="1:6" ht="28.5" customHeight="1">
      <c r="A53" s="42" t="s">
        <v>51</v>
      </c>
      <c r="B53" s="43" t="s">
        <v>47</v>
      </c>
      <c r="C53" s="81">
        <v>557</v>
      </c>
      <c r="D53" s="85">
        <f t="shared" si="3"/>
        <v>557</v>
      </c>
      <c r="E53" s="96" t="str">
        <f t="shared" si="0"/>
        <v>-</v>
      </c>
      <c r="F53" s="97">
        <f t="shared" si="1"/>
        <v>1</v>
      </c>
    </row>
    <row r="54" spans="1:6" ht="28.5" customHeight="1">
      <c r="A54" s="42" t="s">
        <v>52</v>
      </c>
      <c r="B54" s="43" t="s">
        <v>48</v>
      </c>
      <c r="C54" s="81">
        <v>0</v>
      </c>
      <c r="D54" s="85">
        <f t="shared" si="3"/>
        <v>0</v>
      </c>
      <c r="E54" s="96" t="str">
        <f t="shared" si="0"/>
        <v>-</v>
      </c>
      <c r="F54" s="97" t="str">
        <f t="shared" si="1"/>
        <v>-</v>
      </c>
    </row>
    <row r="55" spans="1:6" ht="28.5" customHeight="1">
      <c r="A55" s="42" t="s">
        <v>53</v>
      </c>
      <c r="B55" s="43" t="s">
        <v>49</v>
      </c>
      <c r="C55" s="81">
        <v>569</v>
      </c>
      <c r="D55" s="85">
        <f t="shared" si="3"/>
        <v>569</v>
      </c>
      <c r="E55" s="96" t="str">
        <f t="shared" si="0"/>
        <v>-</v>
      </c>
      <c r="F55" s="97">
        <f t="shared" si="1"/>
        <v>1</v>
      </c>
    </row>
    <row r="56" spans="1:6" ht="28.5" customHeight="1">
      <c r="A56" s="31" t="s">
        <v>24</v>
      </c>
      <c r="B56" s="40" t="s">
        <v>25</v>
      </c>
      <c r="C56" s="81">
        <v>0</v>
      </c>
      <c r="D56" s="85">
        <f>C56</f>
        <v>0</v>
      </c>
      <c r="E56" s="96" t="str">
        <f t="shared" si="0"/>
        <v>-</v>
      </c>
      <c r="F56" s="97" t="str">
        <f t="shared" si="1"/>
        <v>-</v>
      </c>
    </row>
    <row r="57" spans="1:6" ht="28.5" customHeight="1">
      <c r="A57" s="31" t="s">
        <v>26</v>
      </c>
      <c r="B57" s="40" t="s">
        <v>181</v>
      </c>
      <c r="C57" s="81">
        <v>4270</v>
      </c>
      <c r="D57" s="85">
        <f>C57</f>
        <v>4270</v>
      </c>
      <c r="E57" s="96" t="str">
        <f t="shared" si="0"/>
        <v>-</v>
      </c>
      <c r="F57" s="100">
        <f t="shared" si="1"/>
        <v>1</v>
      </c>
    </row>
    <row r="58" spans="1:6" ht="28.5" customHeight="1">
      <c r="A58" s="31" t="s">
        <v>27</v>
      </c>
      <c r="B58" s="40" t="s">
        <v>28</v>
      </c>
      <c r="C58" s="81">
        <v>479</v>
      </c>
      <c r="D58" s="85">
        <f>C58</f>
        <v>479</v>
      </c>
      <c r="E58" s="96" t="str">
        <f t="shared" si="0"/>
        <v>-</v>
      </c>
      <c r="F58" s="97">
        <f t="shared" si="1"/>
        <v>1</v>
      </c>
    </row>
    <row r="59" spans="1:6" s="3" customFormat="1" ht="30" customHeight="1">
      <c r="A59" s="33" t="s">
        <v>29</v>
      </c>
      <c r="B59" s="45" t="s">
        <v>182</v>
      </c>
      <c r="C59" s="27">
        <f>C60+C61+C62+C63</f>
        <v>21300</v>
      </c>
      <c r="D59" s="27">
        <f>D60+D61+D62+D63</f>
        <v>16174</v>
      </c>
      <c r="E59" s="13">
        <f t="shared" si="0"/>
        <v>-5126</v>
      </c>
      <c r="F59" s="101">
        <f t="shared" si="1"/>
        <v>0.7593</v>
      </c>
    </row>
    <row r="60" spans="1:6" ht="42" customHeight="1">
      <c r="A60" s="31" t="s">
        <v>102</v>
      </c>
      <c r="B60" s="40" t="s">
        <v>124</v>
      </c>
      <c r="C60" s="81">
        <v>100</v>
      </c>
      <c r="D60" s="85">
        <f>C60-50</f>
        <v>50</v>
      </c>
      <c r="E60" s="77">
        <f t="shared" si="0"/>
        <v>-50</v>
      </c>
      <c r="F60" s="97">
        <f t="shared" si="1"/>
        <v>0.5</v>
      </c>
    </row>
    <row r="61" spans="1:6" ht="31.5" customHeight="1">
      <c r="A61" s="31" t="s">
        <v>30</v>
      </c>
      <c r="B61" s="40" t="s">
        <v>56</v>
      </c>
      <c r="C61" s="81">
        <v>20000</v>
      </c>
      <c r="D61" s="85">
        <f>C61-4376</f>
        <v>15624</v>
      </c>
      <c r="E61" s="77">
        <f t="shared" si="0"/>
        <v>-4376</v>
      </c>
      <c r="F61" s="97">
        <f t="shared" si="1"/>
        <v>0.7812</v>
      </c>
    </row>
    <row r="62" spans="1:6" ht="31.5" customHeight="1">
      <c r="A62" s="31" t="s">
        <v>31</v>
      </c>
      <c r="B62" s="40" t="s">
        <v>104</v>
      </c>
      <c r="C62" s="81">
        <v>0</v>
      </c>
      <c r="D62" s="85">
        <f>C62</f>
        <v>0</v>
      </c>
      <c r="E62" s="77" t="str">
        <f t="shared" si="0"/>
        <v>-</v>
      </c>
      <c r="F62" s="97" t="str">
        <f t="shared" si="1"/>
        <v>-</v>
      </c>
    </row>
    <row r="63" spans="1:6" ht="31.5" customHeight="1">
      <c r="A63" s="31" t="s">
        <v>103</v>
      </c>
      <c r="B63" s="40" t="s">
        <v>105</v>
      </c>
      <c r="C63" s="81">
        <v>1200</v>
      </c>
      <c r="D63" s="85">
        <f>C63-700</f>
        <v>500</v>
      </c>
      <c r="E63" s="77">
        <f t="shared" si="0"/>
        <v>-700</v>
      </c>
      <c r="F63" s="97">
        <f t="shared" si="1"/>
        <v>0.4167</v>
      </c>
    </row>
    <row r="64" spans="1:6" ht="32.25" customHeight="1">
      <c r="A64" s="33" t="s">
        <v>110</v>
      </c>
      <c r="B64" s="45" t="s">
        <v>129</v>
      </c>
      <c r="C64" s="27">
        <v>7000</v>
      </c>
      <c r="D64" s="27">
        <f>C64+332</f>
        <v>7332</v>
      </c>
      <c r="E64" s="13">
        <f t="shared" si="0"/>
        <v>332</v>
      </c>
      <c r="F64" s="101">
        <f t="shared" si="1"/>
        <v>1.0474</v>
      </c>
    </row>
  </sheetData>
  <sheetProtection formatCells="0" formatColumns="0" formatRows="0" insertColumns="0" insertRows="0" insertHyperlinks="0" deleteColumns="0" deleteRows="0"/>
  <mergeCells count="7">
    <mergeCell ref="F4:F5"/>
    <mergeCell ref="A1:F1"/>
    <mergeCell ref="A4:A5"/>
    <mergeCell ref="B4:B5"/>
    <mergeCell ref="C4:C5"/>
    <mergeCell ref="D4:D5"/>
    <mergeCell ref="E4:E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8" r:id="rId1"/>
  <headerFooter alignWithMargins="0">
    <oddFooter>&amp;R&amp;20&amp;P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showGridLines="0" view="pageBreakPreview" zoomScale="55" zoomScaleNormal="70" zoomScaleSheetLayoutView="55" zoomScalePageLayoutView="0" workbookViewId="0" topLeftCell="A1">
      <pane xSplit="2" ySplit="7" topLeftCell="C47" activePane="bottomRight" state="frozen"/>
      <selection pane="topLeft" activeCell="G1" sqref="G1:S65536"/>
      <selection pane="topRight" activeCell="G1" sqref="G1:S65536"/>
      <selection pane="bottomLeft" activeCell="G1" sqref="G1:S65536"/>
      <selection pane="bottomRight" activeCell="B71" sqref="B71"/>
    </sheetView>
  </sheetViews>
  <sheetFormatPr defaultColWidth="9.00390625" defaultRowHeight="12.75"/>
  <cols>
    <col min="1" max="1" width="9.125" style="2" customWidth="1"/>
    <col min="2" max="2" width="125.875" style="2" customWidth="1"/>
    <col min="3" max="3" width="25.75390625" style="2" customWidth="1"/>
    <col min="4" max="4" width="26.875" style="2" customWidth="1"/>
    <col min="5" max="5" width="25.125" style="2" customWidth="1"/>
    <col min="6" max="6" width="20.75390625" style="2" customWidth="1"/>
    <col min="7" max="16384" width="9.125" style="2" customWidth="1"/>
  </cols>
  <sheetData>
    <row r="1" spans="1:6" s="48" customFormat="1" ht="38.25" customHeight="1">
      <c r="A1" s="152" t="str">
        <f>NFZ!A1</f>
        <v>ZMIANA PLANU NARODOWEGO FUNDUSZU ZDROWIA NA 2014 R. Z DNIA 30 GRUDNIA 2014 R.</v>
      </c>
      <c r="B1" s="152"/>
      <c r="C1" s="152"/>
      <c r="D1" s="152"/>
      <c r="E1" s="152"/>
      <c r="F1" s="152"/>
    </row>
    <row r="2" spans="1:3" s="50" customFormat="1" ht="33" customHeight="1">
      <c r="A2" s="88" t="s">
        <v>77</v>
      </c>
      <c r="B2" s="88"/>
      <c r="C2" s="94"/>
    </row>
    <row r="3" spans="1:6" ht="33" customHeight="1">
      <c r="A3" s="8"/>
      <c r="B3" s="9"/>
      <c r="C3" s="87"/>
      <c r="D3" s="87"/>
      <c r="E3" s="87" t="s">
        <v>159</v>
      </c>
      <c r="F3" s="10"/>
    </row>
    <row r="4" spans="1:6" s="6" customFormat="1" ht="45" customHeight="1">
      <c r="A4" s="149" t="s">
        <v>132</v>
      </c>
      <c r="B4" s="149" t="s">
        <v>55</v>
      </c>
      <c r="C4" s="150" t="s">
        <v>236</v>
      </c>
      <c r="D4" s="150" t="s">
        <v>191</v>
      </c>
      <c r="E4" s="153" t="s">
        <v>192</v>
      </c>
      <c r="F4" s="153" t="s">
        <v>193</v>
      </c>
    </row>
    <row r="5" spans="1:6" s="6" customFormat="1" ht="45" customHeight="1">
      <c r="A5" s="149"/>
      <c r="B5" s="149"/>
      <c r="C5" s="151"/>
      <c r="D5" s="151"/>
      <c r="E5" s="153"/>
      <c r="F5" s="153"/>
    </row>
    <row r="6" spans="1:6" s="4" customFormat="1" ht="14.25">
      <c r="A6" s="47">
        <v>1</v>
      </c>
      <c r="B6" s="52">
        <v>2</v>
      </c>
      <c r="C6" s="47">
        <v>3</v>
      </c>
      <c r="D6" s="52">
        <v>4</v>
      </c>
      <c r="E6" s="47">
        <v>5</v>
      </c>
      <c r="F6" s="52">
        <v>6</v>
      </c>
    </row>
    <row r="7" spans="1:6" s="3" customFormat="1" ht="30" customHeight="1">
      <c r="A7" s="23" t="s">
        <v>0</v>
      </c>
      <c r="B7" s="39" t="s">
        <v>248</v>
      </c>
      <c r="C7" s="16">
        <f>C8+C9+C10+C15+C16+C17+C18+C19+C20+C21+C22+C23+C24+C25+C29+C30+C32+C33</f>
        <v>2836755</v>
      </c>
      <c r="D7" s="16">
        <f>D8+D9+D10+D15+D16+D17+D18+D19+D20+D21+D22+D23+D24+D25+D29+D30+D32+D33</f>
        <v>2839659</v>
      </c>
      <c r="E7" s="13">
        <f>IF(C7=D7,"-",D7-C7)</f>
        <v>2904</v>
      </c>
      <c r="F7" s="95">
        <f>IF(C7=0,"-",D7/C7)</f>
        <v>1.001</v>
      </c>
    </row>
    <row r="8" spans="1:6" ht="33" customHeight="1">
      <c r="A8" s="29" t="s">
        <v>1</v>
      </c>
      <c r="B8" s="35" t="s">
        <v>133</v>
      </c>
      <c r="C8" s="81">
        <v>341821</v>
      </c>
      <c r="D8" s="25">
        <f>C8</f>
        <v>341821</v>
      </c>
      <c r="E8" s="96" t="str">
        <f aca="true" t="shared" si="0" ref="E8:E64">IF(C8=D8,"-",D8-C8)</f>
        <v>-</v>
      </c>
      <c r="F8" s="97">
        <f aca="true" t="shared" si="1" ref="F8:F64">IF(C8=0,"-",D8/C8)</f>
        <v>1</v>
      </c>
    </row>
    <row r="9" spans="1:6" ht="33" customHeight="1">
      <c r="A9" s="29" t="s">
        <v>2</v>
      </c>
      <c r="B9" s="35" t="s">
        <v>134</v>
      </c>
      <c r="C9" s="81">
        <v>249505</v>
      </c>
      <c r="D9" s="25">
        <f aca="true" t="shared" si="2" ref="D9:D33">C9</f>
        <v>249505</v>
      </c>
      <c r="E9" s="96" t="str">
        <f t="shared" si="0"/>
        <v>-</v>
      </c>
      <c r="F9" s="97">
        <f t="shared" si="1"/>
        <v>1</v>
      </c>
    </row>
    <row r="10" spans="1:6" ht="33" customHeight="1">
      <c r="A10" s="29" t="s">
        <v>3</v>
      </c>
      <c r="B10" s="35" t="s">
        <v>131</v>
      </c>
      <c r="C10" s="81">
        <v>1411277</v>
      </c>
      <c r="D10" s="25">
        <f>C10+1904</f>
        <v>1413181</v>
      </c>
      <c r="E10" s="96">
        <f t="shared" si="0"/>
        <v>1904</v>
      </c>
      <c r="F10" s="97">
        <f t="shared" si="1"/>
        <v>1.0013</v>
      </c>
    </row>
    <row r="11" spans="1:6" ht="31.5" customHeight="1">
      <c r="A11" s="28" t="s">
        <v>57</v>
      </c>
      <c r="B11" s="34" t="s">
        <v>160</v>
      </c>
      <c r="C11" s="81">
        <v>101100</v>
      </c>
      <c r="D11" s="25">
        <f t="shared" si="2"/>
        <v>101100</v>
      </c>
      <c r="E11" s="96" t="str">
        <f t="shared" si="0"/>
        <v>-</v>
      </c>
      <c r="F11" s="97">
        <f t="shared" si="1"/>
        <v>1</v>
      </c>
    </row>
    <row r="12" spans="1:6" ht="31.5" customHeight="1">
      <c r="A12" s="28" t="s">
        <v>161</v>
      </c>
      <c r="B12" s="34" t="s">
        <v>164</v>
      </c>
      <c r="C12" s="81">
        <v>92100</v>
      </c>
      <c r="D12" s="25">
        <f t="shared" si="2"/>
        <v>92100</v>
      </c>
      <c r="E12" s="96" t="str">
        <f t="shared" si="0"/>
        <v>-</v>
      </c>
      <c r="F12" s="97">
        <f t="shared" si="1"/>
        <v>1</v>
      </c>
    </row>
    <row r="13" spans="1:6" ht="31.5" customHeight="1">
      <c r="A13" s="28" t="s">
        <v>162</v>
      </c>
      <c r="B13" s="34" t="s">
        <v>165</v>
      </c>
      <c r="C13" s="81">
        <v>55000</v>
      </c>
      <c r="D13" s="25">
        <f t="shared" si="2"/>
        <v>55000</v>
      </c>
      <c r="E13" s="96" t="str">
        <f t="shared" si="0"/>
        <v>-</v>
      </c>
      <c r="F13" s="97">
        <f t="shared" si="1"/>
        <v>1</v>
      </c>
    </row>
    <row r="14" spans="1:6" ht="31.5" customHeight="1">
      <c r="A14" s="28" t="s">
        <v>163</v>
      </c>
      <c r="B14" s="34" t="s">
        <v>166</v>
      </c>
      <c r="C14" s="81">
        <v>23000</v>
      </c>
      <c r="D14" s="25">
        <f t="shared" si="2"/>
        <v>23000</v>
      </c>
      <c r="E14" s="96" t="str">
        <f t="shared" si="0"/>
        <v>-</v>
      </c>
      <c r="F14" s="97">
        <f t="shared" si="1"/>
        <v>1</v>
      </c>
    </row>
    <row r="15" spans="1:6" ht="33" customHeight="1">
      <c r="A15" s="29" t="s">
        <v>4</v>
      </c>
      <c r="B15" s="35" t="s">
        <v>139</v>
      </c>
      <c r="C15" s="81">
        <v>92205</v>
      </c>
      <c r="D15" s="25">
        <f>C15+1000</f>
        <v>93205</v>
      </c>
      <c r="E15" s="96">
        <f t="shared" si="0"/>
        <v>1000</v>
      </c>
      <c r="F15" s="97">
        <f t="shared" si="1"/>
        <v>1.0108</v>
      </c>
    </row>
    <row r="16" spans="1:6" ht="33" customHeight="1">
      <c r="A16" s="29" t="s">
        <v>5</v>
      </c>
      <c r="B16" s="35" t="s">
        <v>135</v>
      </c>
      <c r="C16" s="81">
        <v>75422</v>
      </c>
      <c r="D16" s="25">
        <f t="shared" si="2"/>
        <v>75422</v>
      </c>
      <c r="E16" s="96" t="str">
        <f t="shared" si="0"/>
        <v>-</v>
      </c>
      <c r="F16" s="97">
        <f t="shared" si="1"/>
        <v>1</v>
      </c>
    </row>
    <row r="17" spans="1:6" ht="33" customHeight="1">
      <c r="A17" s="29" t="s">
        <v>6</v>
      </c>
      <c r="B17" s="35" t="s">
        <v>141</v>
      </c>
      <c r="C17" s="81">
        <v>39834</v>
      </c>
      <c r="D17" s="25">
        <f t="shared" si="2"/>
        <v>39834</v>
      </c>
      <c r="E17" s="96" t="str">
        <f t="shared" si="0"/>
        <v>-</v>
      </c>
      <c r="F17" s="97">
        <f t="shared" si="1"/>
        <v>1</v>
      </c>
    </row>
    <row r="18" spans="1:6" ht="33" customHeight="1">
      <c r="A18" s="29" t="s">
        <v>7</v>
      </c>
      <c r="B18" s="35" t="s">
        <v>140</v>
      </c>
      <c r="C18" s="81">
        <v>11567</v>
      </c>
      <c r="D18" s="25">
        <f t="shared" si="2"/>
        <v>11567</v>
      </c>
      <c r="E18" s="96" t="str">
        <f t="shared" si="0"/>
        <v>-</v>
      </c>
      <c r="F18" s="97">
        <f t="shared" si="1"/>
        <v>1</v>
      </c>
    </row>
    <row r="19" spans="1:6" ht="33" customHeight="1">
      <c r="A19" s="29" t="s">
        <v>8</v>
      </c>
      <c r="B19" s="35" t="s">
        <v>136</v>
      </c>
      <c r="C19" s="81">
        <v>87866</v>
      </c>
      <c r="D19" s="25">
        <f t="shared" si="2"/>
        <v>87866</v>
      </c>
      <c r="E19" s="96" t="str">
        <f t="shared" si="0"/>
        <v>-</v>
      </c>
      <c r="F19" s="97">
        <f t="shared" si="1"/>
        <v>1</v>
      </c>
    </row>
    <row r="20" spans="1:6" ht="33" customHeight="1">
      <c r="A20" s="29" t="s">
        <v>9</v>
      </c>
      <c r="B20" s="35" t="s">
        <v>137</v>
      </c>
      <c r="C20" s="81">
        <v>22365</v>
      </c>
      <c r="D20" s="25">
        <f t="shared" si="2"/>
        <v>22365</v>
      </c>
      <c r="E20" s="96" t="str">
        <f t="shared" si="0"/>
        <v>-</v>
      </c>
      <c r="F20" s="97">
        <f t="shared" si="1"/>
        <v>1</v>
      </c>
    </row>
    <row r="21" spans="1:6" ht="33" customHeight="1">
      <c r="A21" s="29" t="s">
        <v>10</v>
      </c>
      <c r="B21" s="35" t="s">
        <v>142</v>
      </c>
      <c r="C21" s="81">
        <v>2400</v>
      </c>
      <c r="D21" s="25">
        <f t="shared" si="2"/>
        <v>2400</v>
      </c>
      <c r="E21" s="96" t="str">
        <f t="shared" si="0"/>
        <v>-</v>
      </c>
      <c r="F21" s="97">
        <f t="shared" si="1"/>
        <v>1</v>
      </c>
    </row>
    <row r="22" spans="1:6" ht="46.5" customHeight="1">
      <c r="A22" s="29" t="s">
        <v>11</v>
      </c>
      <c r="B22" s="35" t="s">
        <v>138</v>
      </c>
      <c r="C22" s="81">
        <v>9517</v>
      </c>
      <c r="D22" s="25">
        <f t="shared" si="2"/>
        <v>9517</v>
      </c>
      <c r="E22" s="96" t="str">
        <f t="shared" si="0"/>
        <v>-</v>
      </c>
      <c r="F22" s="97">
        <f t="shared" si="1"/>
        <v>1</v>
      </c>
    </row>
    <row r="23" spans="1:6" ht="33" customHeight="1">
      <c r="A23" s="29" t="s">
        <v>12</v>
      </c>
      <c r="B23" s="35" t="s">
        <v>185</v>
      </c>
      <c r="C23" s="81">
        <v>80252</v>
      </c>
      <c r="D23" s="25">
        <f t="shared" si="2"/>
        <v>80252</v>
      </c>
      <c r="E23" s="96" t="str">
        <f t="shared" si="0"/>
        <v>-</v>
      </c>
      <c r="F23" s="97">
        <f t="shared" si="1"/>
        <v>1</v>
      </c>
    </row>
    <row r="24" spans="1:6" ht="33" customHeight="1">
      <c r="A24" s="29" t="s">
        <v>13</v>
      </c>
      <c r="B24" s="35" t="s">
        <v>167</v>
      </c>
      <c r="C24" s="81">
        <v>36373</v>
      </c>
      <c r="D24" s="25">
        <f t="shared" si="2"/>
        <v>36373</v>
      </c>
      <c r="E24" s="96" t="str">
        <f t="shared" si="0"/>
        <v>-</v>
      </c>
      <c r="F24" s="97">
        <f t="shared" si="1"/>
        <v>1</v>
      </c>
    </row>
    <row r="25" spans="1:6" ht="33" customHeight="1">
      <c r="A25" s="30" t="s">
        <v>14</v>
      </c>
      <c r="B25" s="78" t="s">
        <v>249</v>
      </c>
      <c r="C25" s="81">
        <f>SUM(C26:C28)</f>
        <v>369081</v>
      </c>
      <c r="D25" s="81">
        <f>SUM(D26:D28)</f>
        <v>369081</v>
      </c>
      <c r="E25" s="96" t="str">
        <f t="shared" si="0"/>
        <v>-</v>
      </c>
      <c r="F25" s="97">
        <f t="shared" si="1"/>
        <v>1</v>
      </c>
    </row>
    <row r="26" spans="1:6" ht="31.5">
      <c r="A26" s="28" t="s">
        <v>143</v>
      </c>
      <c r="B26" s="34" t="s">
        <v>170</v>
      </c>
      <c r="C26" s="81">
        <v>368221</v>
      </c>
      <c r="D26" s="25">
        <f t="shared" si="2"/>
        <v>368221</v>
      </c>
      <c r="E26" s="96" t="str">
        <f t="shared" si="0"/>
        <v>-</v>
      </c>
      <c r="F26" s="97">
        <f t="shared" si="1"/>
        <v>1</v>
      </c>
    </row>
    <row r="27" spans="1:6" ht="31.5" customHeight="1">
      <c r="A27" s="28" t="s">
        <v>169</v>
      </c>
      <c r="B27" s="34" t="s">
        <v>172</v>
      </c>
      <c r="C27" s="81">
        <v>476</v>
      </c>
      <c r="D27" s="25">
        <f t="shared" si="2"/>
        <v>476</v>
      </c>
      <c r="E27" s="96" t="str">
        <f t="shared" si="0"/>
        <v>-</v>
      </c>
      <c r="F27" s="97">
        <f t="shared" si="1"/>
        <v>1</v>
      </c>
    </row>
    <row r="28" spans="1:6" ht="31.5" customHeight="1">
      <c r="A28" s="28" t="s">
        <v>173</v>
      </c>
      <c r="B28" s="34" t="s">
        <v>171</v>
      </c>
      <c r="C28" s="81">
        <v>384</v>
      </c>
      <c r="D28" s="25">
        <f t="shared" si="2"/>
        <v>384</v>
      </c>
      <c r="E28" s="96" t="str">
        <f t="shared" si="0"/>
        <v>-</v>
      </c>
      <c r="F28" s="97">
        <f t="shared" si="1"/>
        <v>1</v>
      </c>
    </row>
    <row r="29" spans="1:6" ht="33" customHeight="1">
      <c r="A29" s="31" t="s">
        <v>15</v>
      </c>
      <c r="B29" s="36" t="s">
        <v>122</v>
      </c>
      <c r="C29" s="81">
        <v>0</v>
      </c>
      <c r="D29" s="25">
        <f t="shared" si="2"/>
        <v>0</v>
      </c>
      <c r="E29" s="96" t="str">
        <f t="shared" si="0"/>
        <v>-</v>
      </c>
      <c r="F29" s="97" t="str">
        <f t="shared" si="1"/>
        <v>-</v>
      </c>
    </row>
    <row r="30" spans="1:6" ht="33" customHeight="1">
      <c r="A30" s="31" t="s">
        <v>119</v>
      </c>
      <c r="B30" s="37" t="s">
        <v>174</v>
      </c>
      <c r="C30" s="81">
        <v>0</v>
      </c>
      <c r="D30" s="25">
        <f t="shared" si="2"/>
        <v>0</v>
      </c>
      <c r="E30" s="96" t="str">
        <f t="shared" si="0"/>
        <v>-</v>
      </c>
      <c r="F30" s="97" t="str">
        <f t="shared" si="1"/>
        <v>-</v>
      </c>
    </row>
    <row r="31" spans="1:6" ht="31.5" customHeight="1">
      <c r="A31" s="28" t="s">
        <v>175</v>
      </c>
      <c r="B31" s="34" t="s">
        <v>187</v>
      </c>
      <c r="C31" s="81">
        <v>0</v>
      </c>
      <c r="D31" s="25">
        <f t="shared" si="2"/>
        <v>0</v>
      </c>
      <c r="E31" s="96" t="str">
        <f t="shared" si="0"/>
        <v>-</v>
      </c>
      <c r="F31" s="97" t="str">
        <f t="shared" si="1"/>
        <v>-</v>
      </c>
    </row>
    <row r="32" spans="1:6" ht="33" customHeight="1">
      <c r="A32" s="31" t="s">
        <v>120</v>
      </c>
      <c r="B32" s="37" t="s">
        <v>123</v>
      </c>
      <c r="C32" s="81">
        <v>0</v>
      </c>
      <c r="D32" s="25">
        <f t="shared" si="2"/>
        <v>0</v>
      </c>
      <c r="E32" s="96" t="str">
        <f t="shared" si="0"/>
        <v>-</v>
      </c>
      <c r="F32" s="97" t="str">
        <f t="shared" si="1"/>
        <v>-</v>
      </c>
    </row>
    <row r="33" spans="1:6" ht="33" customHeight="1">
      <c r="A33" s="31" t="s">
        <v>121</v>
      </c>
      <c r="B33" s="37" t="s">
        <v>186</v>
      </c>
      <c r="C33" s="81">
        <v>7270</v>
      </c>
      <c r="D33" s="25">
        <f t="shared" si="2"/>
        <v>7270</v>
      </c>
      <c r="E33" s="96" t="str">
        <f t="shared" si="0"/>
        <v>-</v>
      </c>
      <c r="F33" s="97">
        <f t="shared" si="1"/>
        <v>1</v>
      </c>
    </row>
    <row r="34" spans="1:6" ht="51.75" customHeight="1">
      <c r="A34" s="31" t="s">
        <v>246</v>
      </c>
      <c r="B34" s="37" t="s">
        <v>247</v>
      </c>
      <c r="C34" s="81">
        <v>0</v>
      </c>
      <c r="D34" s="25">
        <f>C34</f>
        <v>0</v>
      </c>
      <c r="E34" s="96" t="str">
        <f>IF(C34=D34,"-",D34-C34)</f>
        <v>-</v>
      </c>
      <c r="F34" s="97" t="str">
        <f>IF(C34=0,"-",D34/C34)</f>
        <v>-</v>
      </c>
    </row>
    <row r="35" spans="1:6" s="5" customFormat="1" ht="31.5" customHeight="1">
      <c r="A35" s="32" t="s">
        <v>59</v>
      </c>
      <c r="B35" s="38" t="s">
        <v>60</v>
      </c>
      <c r="C35" s="84">
        <v>0</v>
      </c>
      <c r="D35" s="92">
        <f>C35</f>
        <v>0</v>
      </c>
      <c r="E35" s="15" t="str">
        <f t="shared" si="0"/>
        <v>-</v>
      </c>
      <c r="F35" s="98" t="str">
        <f t="shared" si="1"/>
        <v>-</v>
      </c>
    </row>
    <row r="36" spans="1:6" s="5" customFormat="1" ht="31.5" customHeight="1">
      <c r="A36" s="32" t="s">
        <v>58</v>
      </c>
      <c r="B36" s="38" t="s">
        <v>61</v>
      </c>
      <c r="C36" s="84">
        <v>100029</v>
      </c>
      <c r="D36" s="93">
        <f>C36</f>
        <v>100029</v>
      </c>
      <c r="E36" s="15" t="str">
        <f t="shared" si="0"/>
        <v>-</v>
      </c>
      <c r="F36" s="98">
        <f t="shared" si="1"/>
        <v>1</v>
      </c>
    </row>
    <row r="37" spans="1:6" s="5" customFormat="1" ht="42.75" customHeight="1">
      <c r="A37" s="32" t="s">
        <v>176</v>
      </c>
      <c r="B37" s="38" t="s">
        <v>177</v>
      </c>
      <c r="C37" s="84">
        <v>484181</v>
      </c>
      <c r="D37" s="84">
        <f>D12+D14+D25+D31</f>
        <v>484181</v>
      </c>
      <c r="E37" s="15" t="str">
        <f t="shared" si="0"/>
        <v>-</v>
      </c>
      <c r="F37" s="98">
        <f t="shared" si="1"/>
        <v>1</v>
      </c>
    </row>
    <row r="38" spans="1:6" s="3" customFormat="1" ht="30" customHeight="1">
      <c r="A38" s="26" t="s">
        <v>16</v>
      </c>
      <c r="B38" s="46" t="s">
        <v>250</v>
      </c>
      <c r="C38" s="24">
        <f>C39+C40+C41+C49+C51+C57+C58+C56</f>
        <v>20697</v>
      </c>
      <c r="D38" s="24">
        <f>D39+D40+D41+D49+D51+D57+D58+D56</f>
        <v>20697</v>
      </c>
      <c r="E38" s="13" t="str">
        <f t="shared" si="0"/>
        <v>-</v>
      </c>
      <c r="F38" s="99">
        <f t="shared" si="1"/>
        <v>1</v>
      </c>
    </row>
    <row r="39" spans="1:6" ht="28.5" customHeight="1">
      <c r="A39" s="31" t="s">
        <v>17</v>
      </c>
      <c r="B39" s="40" t="s">
        <v>18</v>
      </c>
      <c r="C39" s="81">
        <v>963</v>
      </c>
      <c r="D39" s="85">
        <f>C39</f>
        <v>963</v>
      </c>
      <c r="E39" s="96" t="str">
        <f t="shared" si="0"/>
        <v>-</v>
      </c>
      <c r="F39" s="97">
        <f t="shared" si="1"/>
        <v>1</v>
      </c>
    </row>
    <row r="40" spans="1:6" ht="28.5" customHeight="1">
      <c r="A40" s="31" t="s">
        <v>19</v>
      </c>
      <c r="B40" s="40" t="s">
        <v>20</v>
      </c>
      <c r="C40" s="81">
        <v>2430</v>
      </c>
      <c r="D40" s="85">
        <f>C40</f>
        <v>2430</v>
      </c>
      <c r="E40" s="96" t="str">
        <f t="shared" si="0"/>
        <v>-</v>
      </c>
      <c r="F40" s="97">
        <f t="shared" si="1"/>
        <v>1</v>
      </c>
    </row>
    <row r="41" spans="1:6" ht="28.5" customHeight="1">
      <c r="A41" s="31" t="s">
        <v>21</v>
      </c>
      <c r="B41" s="41" t="s">
        <v>251</v>
      </c>
      <c r="C41" s="85">
        <f>C42+C44+C45+C46+C47+C48</f>
        <v>241</v>
      </c>
      <c r="D41" s="85">
        <f>D42+D44+D45+D46+D47+D48</f>
        <v>241</v>
      </c>
      <c r="E41" s="96" t="str">
        <f t="shared" si="0"/>
        <v>-</v>
      </c>
      <c r="F41" s="97">
        <f t="shared" si="1"/>
        <v>1</v>
      </c>
    </row>
    <row r="42" spans="1:6" ht="23.25" customHeight="1">
      <c r="A42" s="42" t="s">
        <v>39</v>
      </c>
      <c r="B42" s="43" t="s">
        <v>32</v>
      </c>
      <c r="C42" s="81">
        <v>28</v>
      </c>
      <c r="D42" s="85">
        <f>C42</f>
        <v>28</v>
      </c>
      <c r="E42" s="96" t="str">
        <f t="shared" si="0"/>
        <v>-</v>
      </c>
      <c r="F42" s="97">
        <f t="shared" si="1"/>
        <v>1</v>
      </c>
    </row>
    <row r="43" spans="1:6" ht="28.5" customHeight="1">
      <c r="A43" s="42" t="s">
        <v>40</v>
      </c>
      <c r="B43" s="44" t="s">
        <v>33</v>
      </c>
      <c r="C43" s="81">
        <v>28</v>
      </c>
      <c r="D43" s="85">
        <f aca="true" t="shared" si="3" ref="D43:D55">C43</f>
        <v>28</v>
      </c>
      <c r="E43" s="96" t="str">
        <f t="shared" si="0"/>
        <v>-</v>
      </c>
      <c r="F43" s="97">
        <f t="shared" si="1"/>
        <v>1</v>
      </c>
    </row>
    <row r="44" spans="1:6" ht="28.5" customHeight="1">
      <c r="A44" s="42" t="s">
        <v>41</v>
      </c>
      <c r="B44" s="43" t="s">
        <v>34</v>
      </c>
      <c r="C44" s="81">
        <v>6</v>
      </c>
      <c r="D44" s="85">
        <f t="shared" si="3"/>
        <v>6</v>
      </c>
      <c r="E44" s="96" t="str">
        <f t="shared" si="0"/>
        <v>-</v>
      </c>
      <c r="F44" s="97">
        <f t="shared" si="1"/>
        <v>1</v>
      </c>
    </row>
    <row r="45" spans="1:6" ht="28.5" customHeight="1">
      <c r="A45" s="42" t="s">
        <v>42</v>
      </c>
      <c r="B45" s="43" t="s">
        <v>35</v>
      </c>
      <c r="C45" s="81">
        <v>0</v>
      </c>
      <c r="D45" s="85">
        <f t="shared" si="3"/>
        <v>0</v>
      </c>
      <c r="E45" s="96" t="str">
        <f t="shared" si="0"/>
        <v>-</v>
      </c>
      <c r="F45" s="97" t="str">
        <f t="shared" si="1"/>
        <v>-</v>
      </c>
    </row>
    <row r="46" spans="1:6" ht="28.5" customHeight="1">
      <c r="A46" s="42" t="s">
        <v>43</v>
      </c>
      <c r="B46" s="43" t="s">
        <v>36</v>
      </c>
      <c r="C46" s="81">
        <v>0</v>
      </c>
      <c r="D46" s="85">
        <f t="shared" si="3"/>
        <v>0</v>
      </c>
      <c r="E46" s="96" t="str">
        <f t="shared" si="0"/>
        <v>-</v>
      </c>
      <c r="F46" s="97" t="str">
        <f t="shared" si="1"/>
        <v>-</v>
      </c>
    </row>
    <row r="47" spans="1:6" ht="28.5" customHeight="1">
      <c r="A47" s="42" t="s">
        <v>44</v>
      </c>
      <c r="B47" s="43" t="s">
        <v>37</v>
      </c>
      <c r="C47" s="81">
        <v>184</v>
      </c>
      <c r="D47" s="85">
        <f t="shared" si="3"/>
        <v>184</v>
      </c>
      <c r="E47" s="96" t="str">
        <f t="shared" si="0"/>
        <v>-</v>
      </c>
      <c r="F47" s="97">
        <f t="shared" si="1"/>
        <v>1</v>
      </c>
    </row>
    <row r="48" spans="1:6" ht="28.5" customHeight="1">
      <c r="A48" s="42" t="s">
        <v>45</v>
      </c>
      <c r="B48" s="43" t="s">
        <v>38</v>
      </c>
      <c r="C48" s="81">
        <v>23</v>
      </c>
      <c r="D48" s="85">
        <f>C48</f>
        <v>23</v>
      </c>
      <c r="E48" s="96" t="str">
        <f t="shared" si="0"/>
        <v>-</v>
      </c>
      <c r="F48" s="97">
        <f t="shared" si="1"/>
        <v>1</v>
      </c>
    </row>
    <row r="49" spans="1:6" ht="28.5" customHeight="1">
      <c r="A49" s="31" t="s">
        <v>22</v>
      </c>
      <c r="B49" s="40" t="s">
        <v>178</v>
      </c>
      <c r="C49" s="81">
        <v>12623</v>
      </c>
      <c r="D49" s="85">
        <f>C49</f>
        <v>12623</v>
      </c>
      <c r="E49" s="96" t="str">
        <f t="shared" si="0"/>
        <v>-</v>
      </c>
      <c r="F49" s="97">
        <f t="shared" si="1"/>
        <v>1</v>
      </c>
    </row>
    <row r="50" spans="1:6" ht="28.5" customHeight="1">
      <c r="A50" s="42" t="s">
        <v>179</v>
      </c>
      <c r="B50" s="43" t="s">
        <v>180</v>
      </c>
      <c r="C50" s="81">
        <v>50</v>
      </c>
      <c r="D50" s="85">
        <f>C50</f>
        <v>50</v>
      </c>
      <c r="E50" s="96" t="str">
        <f t="shared" si="0"/>
        <v>-</v>
      </c>
      <c r="F50" s="97">
        <f t="shared" si="1"/>
        <v>1</v>
      </c>
    </row>
    <row r="51" spans="1:6" ht="28.5" customHeight="1">
      <c r="A51" s="31" t="s">
        <v>23</v>
      </c>
      <c r="B51" s="41" t="s">
        <v>252</v>
      </c>
      <c r="C51" s="77">
        <f>C52+C53+C54+C55</f>
        <v>2803</v>
      </c>
      <c r="D51" s="77">
        <f>D52+D53+D54+D55</f>
        <v>2803</v>
      </c>
      <c r="E51" s="96" t="str">
        <f t="shared" si="0"/>
        <v>-</v>
      </c>
      <c r="F51" s="97">
        <f t="shared" si="1"/>
        <v>1</v>
      </c>
    </row>
    <row r="52" spans="1:6" ht="28.5" customHeight="1">
      <c r="A52" s="42" t="s">
        <v>50</v>
      </c>
      <c r="B52" s="43" t="s">
        <v>46</v>
      </c>
      <c r="C52" s="81">
        <v>2169</v>
      </c>
      <c r="D52" s="85">
        <f t="shared" si="3"/>
        <v>2169</v>
      </c>
      <c r="E52" s="96" t="str">
        <f t="shared" si="0"/>
        <v>-</v>
      </c>
      <c r="F52" s="97">
        <f t="shared" si="1"/>
        <v>1</v>
      </c>
    </row>
    <row r="53" spans="1:6" ht="28.5" customHeight="1">
      <c r="A53" s="42" t="s">
        <v>51</v>
      </c>
      <c r="B53" s="43" t="s">
        <v>47</v>
      </c>
      <c r="C53" s="81">
        <v>310</v>
      </c>
      <c r="D53" s="85">
        <f t="shared" si="3"/>
        <v>310</v>
      </c>
      <c r="E53" s="96" t="str">
        <f t="shared" si="0"/>
        <v>-</v>
      </c>
      <c r="F53" s="97">
        <f t="shared" si="1"/>
        <v>1</v>
      </c>
    </row>
    <row r="54" spans="1:6" ht="28.5" customHeight="1">
      <c r="A54" s="42" t="s">
        <v>52</v>
      </c>
      <c r="B54" s="43" t="s">
        <v>48</v>
      </c>
      <c r="C54" s="81">
        <v>0</v>
      </c>
      <c r="D54" s="85">
        <f t="shared" si="3"/>
        <v>0</v>
      </c>
      <c r="E54" s="96" t="str">
        <f t="shared" si="0"/>
        <v>-</v>
      </c>
      <c r="F54" s="97" t="str">
        <f t="shared" si="1"/>
        <v>-</v>
      </c>
    </row>
    <row r="55" spans="1:6" ht="28.5" customHeight="1">
      <c r="A55" s="42" t="s">
        <v>53</v>
      </c>
      <c r="B55" s="43" t="s">
        <v>49</v>
      </c>
      <c r="C55" s="81">
        <v>324</v>
      </c>
      <c r="D55" s="85">
        <f t="shared" si="3"/>
        <v>324</v>
      </c>
      <c r="E55" s="96" t="str">
        <f t="shared" si="0"/>
        <v>-</v>
      </c>
      <c r="F55" s="97">
        <f t="shared" si="1"/>
        <v>1</v>
      </c>
    </row>
    <row r="56" spans="1:6" ht="28.5" customHeight="1">
      <c r="A56" s="31" t="s">
        <v>24</v>
      </c>
      <c r="B56" s="40" t="s">
        <v>25</v>
      </c>
      <c r="C56" s="81">
        <v>0</v>
      </c>
      <c r="D56" s="85">
        <f>C56</f>
        <v>0</v>
      </c>
      <c r="E56" s="96" t="str">
        <f t="shared" si="0"/>
        <v>-</v>
      </c>
      <c r="F56" s="97" t="str">
        <f t="shared" si="1"/>
        <v>-</v>
      </c>
    </row>
    <row r="57" spans="1:6" ht="28.5" customHeight="1">
      <c r="A57" s="31" t="s">
        <v>26</v>
      </c>
      <c r="B57" s="40" t="s">
        <v>181</v>
      </c>
      <c r="C57" s="81">
        <v>1428</v>
      </c>
      <c r="D57" s="85">
        <f>C57</f>
        <v>1428</v>
      </c>
      <c r="E57" s="96" t="str">
        <f t="shared" si="0"/>
        <v>-</v>
      </c>
      <c r="F57" s="100">
        <f t="shared" si="1"/>
        <v>1</v>
      </c>
    </row>
    <row r="58" spans="1:6" ht="28.5" customHeight="1">
      <c r="A58" s="31" t="s">
        <v>27</v>
      </c>
      <c r="B58" s="40" t="s">
        <v>28</v>
      </c>
      <c r="C58" s="81">
        <v>209</v>
      </c>
      <c r="D58" s="85">
        <f>C58</f>
        <v>209</v>
      </c>
      <c r="E58" s="96" t="str">
        <f t="shared" si="0"/>
        <v>-</v>
      </c>
      <c r="F58" s="97">
        <f t="shared" si="1"/>
        <v>1</v>
      </c>
    </row>
    <row r="59" spans="1:6" s="3" customFormat="1" ht="30" customHeight="1">
      <c r="A59" s="33" t="s">
        <v>29</v>
      </c>
      <c r="B59" s="45" t="s">
        <v>182</v>
      </c>
      <c r="C59" s="27">
        <f>C60+C61+C62+C63</f>
        <v>1060</v>
      </c>
      <c r="D59" s="27">
        <f>D60+D61+D62+D63</f>
        <v>364</v>
      </c>
      <c r="E59" s="13">
        <f t="shared" si="0"/>
        <v>-696</v>
      </c>
      <c r="F59" s="101">
        <f t="shared" si="1"/>
        <v>0.3434</v>
      </c>
    </row>
    <row r="60" spans="1:6" ht="42" customHeight="1">
      <c r="A60" s="31" t="s">
        <v>102</v>
      </c>
      <c r="B60" s="40" t="s">
        <v>124</v>
      </c>
      <c r="C60" s="81">
        <v>0</v>
      </c>
      <c r="D60" s="85">
        <f>C60</f>
        <v>0</v>
      </c>
      <c r="E60" s="77" t="str">
        <f t="shared" si="0"/>
        <v>-</v>
      </c>
      <c r="F60" s="97" t="str">
        <f t="shared" si="1"/>
        <v>-</v>
      </c>
    </row>
    <row r="61" spans="1:6" ht="31.5" customHeight="1">
      <c r="A61" s="31" t="s">
        <v>30</v>
      </c>
      <c r="B61" s="40" t="s">
        <v>56</v>
      </c>
      <c r="C61" s="81">
        <v>668</v>
      </c>
      <c r="D61" s="85">
        <f>C61-668</f>
        <v>0</v>
      </c>
      <c r="E61" s="77">
        <f t="shared" si="0"/>
        <v>-668</v>
      </c>
      <c r="F61" s="97">
        <f t="shared" si="1"/>
        <v>0</v>
      </c>
    </row>
    <row r="62" spans="1:6" ht="31.5" customHeight="1">
      <c r="A62" s="31" t="s">
        <v>31</v>
      </c>
      <c r="B62" s="40" t="s">
        <v>104</v>
      </c>
      <c r="C62" s="81">
        <v>0</v>
      </c>
      <c r="D62" s="85">
        <f>C62</f>
        <v>0</v>
      </c>
      <c r="E62" s="77" t="str">
        <f t="shared" si="0"/>
        <v>-</v>
      </c>
      <c r="F62" s="97" t="str">
        <f t="shared" si="1"/>
        <v>-</v>
      </c>
    </row>
    <row r="63" spans="1:6" ht="31.5" customHeight="1">
      <c r="A63" s="31" t="s">
        <v>103</v>
      </c>
      <c r="B63" s="40" t="s">
        <v>105</v>
      </c>
      <c r="C63" s="81">
        <v>392</v>
      </c>
      <c r="D63" s="85">
        <f>C63-28</f>
        <v>364</v>
      </c>
      <c r="E63" s="77">
        <f t="shared" si="0"/>
        <v>-28</v>
      </c>
      <c r="F63" s="97">
        <f t="shared" si="1"/>
        <v>0.9286</v>
      </c>
    </row>
    <row r="64" spans="1:6" ht="32.25" customHeight="1">
      <c r="A64" s="33" t="s">
        <v>110</v>
      </c>
      <c r="B64" s="45" t="s">
        <v>129</v>
      </c>
      <c r="C64" s="27">
        <v>183</v>
      </c>
      <c r="D64" s="27">
        <f>C64-178</f>
        <v>5</v>
      </c>
      <c r="E64" s="13">
        <f t="shared" si="0"/>
        <v>-178</v>
      </c>
      <c r="F64" s="101">
        <f t="shared" si="1"/>
        <v>0.0273</v>
      </c>
    </row>
  </sheetData>
  <sheetProtection formatCells="0" formatColumns="0" formatRows="0" insertColumns="0" insertRows="0" insertHyperlinks="0" deleteColumns="0" deleteRows="0"/>
  <mergeCells count="7">
    <mergeCell ref="F4:F5"/>
    <mergeCell ref="A1:F1"/>
    <mergeCell ref="A4:A5"/>
    <mergeCell ref="B4:B5"/>
    <mergeCell ref="C4:C5"/>
    <mergeCell ref="D4:D5"/>
    <mergeCell ref="E4:E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8" r:id="rId1"/>
  <headerFooter alignWithMargins="0">
    <oddFooter>&amp;R&amp;20&amp;P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0"/>
  <sheetViews>
    <sheetView showGridLines="0" view="pageBreakPreview" zoomScale="55" zoomScaleNormal="70" zoomScaleSheetLayoutView="55" zoomScalePageLayoutView="0" workbookViewId="0" topLeftCell="A1">
      <pane xSplit="2" ySplit="7" topLeftCell="C20" activePane="bottomRight" state="frozen"/>
      <selection pane="topLeft" activeCell="G1" sqref="G1:S65536"/>
      <selection pane="topRight" activeCell="G1" sqref="G1:S65536"/>
      <selection pane="bottomLeft" activeCell="G1" sqref="G1:S65536"/>
      <selection pane="bottomRight" activeCell="G1" sqref="G1:S65536"/>
    </sheetView>
  </sheetViews>
  <sheetFormatPr defaultColWidth="9.00390625" defaultRowHeight="12.75"/>
  <cols>
    <col min="1" max="1" width="9.125" style="2" customWidth="1"/>
    <col min="2" max="2" width="125.875" style="2" customWidth="1"/>
    <col min="3" max="3" width="25.75390625" style="2" customWidth="1"/>
    <col min="4" max="4" width="26.875" style="2" customWidth="1"/>
    <col min="5" max="5" width="25.125" style="2" customWidth="1"/>
    <col min="6" max="6" width="20.75390625" style="2" customWidth="1"/>
    <col min="7" max="16384" width="9.125" style="2" customWidth="1"/>
  </cols>
  <sheetData>
    <row r="1" spans="1:6" s="48" customFormat="1" ht="38.25" customHeight="1">
      <c r="A1" s="152" t="str">
        <f>NFZ!A1</f>
        <v>ZMIANA PLANU NARODOWEGO FUNDUSZU ZDROWIA NA 2014 R. Z DNIA 30 GRUDNIA 2014 R.</v>
      </c>
      <c r="B1" s="152"/>
      <c r="C1" s="152"/>
      <c r="D1" s="152"/>
      <c r="E1" s="152"/>
      <c r="F1" s="152"/>
    </row>
    <row r="2" spans="1:3" s="50" customFormat="1" ht="33" customHeight="1">
      <c r="A2" s="88" t="s">
        <v>189</v>
      </c>
      <c r="B2" s="88"/>
      <c r="C2" s="94"/>
    </row>
    <row r="3" spans="1:6" ht="33" customHeight="1">
      <c r="A3" s="8"/>
      <c r="B3" s="9"/>
      <c r="C3" s="87"/>
      <c r="D3" s="87"/>
      <c r="E3" s="87" t="s">
        <v>159</v>
      </c>
      <c r="F3" s="10"/>
    </row>
    <row r="4" spans="1:6" s="6" customFormat="1" ht="45" customHeight="1">
      <c r="A4" s="149" t="s">
        <v>132</v>
      </c>
      <c r="B4" s="149" t="s">
        <v>55</v>
      </c>
      <c r="C4" s="150" t="s">
        <v>236</v>
      </c>
      <c r="D4" s="150" t="s">
        <v>191</v>
      </c>
      <c r="E4" s="153" t="s">
        <v>192</v>
      </c>
      <c r="F4" s="153" t="s">
        <v>193</v>
      </c>
    </row>
    <row r="5" spans="1:6" s="6" customFormat="1" ht="45" customHeight="1">
      <c r="A5" s="149"/>
      <c r="B5" s="149"/>
      <c r="C5" s="151"/>
      <c r="D5" s="151"/>
      <c r="E5" s="153"/>
      <c r="F5" s="153"/>
    </row>
    <row r="6" spans="1:6" s="4" customFormat="1" ht="14.25">
      <c r="A6" s="47">
        <v>1</v>
      </c>
      <c r="B6" s="52">
        <v>2</v>
      </c>
      <c r="C6" s="47">
        <v>3</v>
      </c>
      <c r="D6" s="52">
        <v>4</v>
      </c>
      <c r="E6" s="47">
        <v>5</v>
      </c>
      <c r="F6" s="52">
        <v>6</v>
      </c>
    </row>
    <row r="7" spans="1:6" s="3" customFormat="1" ht="30" customHeight="1">
      <c r="A7" s="23" t="s">
        <v>0</v>
      </c>
      <c r="B7" s="39" t="s">
        <v>248</v>
      </c>
      <c r="C7" s="16">
        <f>C8+C9+C10+C15+C16+C17+C18+C19+C20+C21+C22+C23+C24+C25+C29+C30+C32+C33+C34</f>
        <v>724263</v>
      </c>
      <c r="D7" s="16">
        <f>D8+D9+D10+D15+D16+D17+D18+D19+D20+D21+D22+D23+D24+D25+D29+D30+D32+D33+D34</f>
        <v>724263</v>
      </c>
      <c r="E7" s="13" t="str">
        <f>IF(C7=D7,"-",D7-C7)</f>
        <v>-</v>
      </c>
      <c r="F7" s="95">
        <f>IF(C7=0,"-",D7/C7)</f>
        <v>1</v>
      </c>
    </row>
    <row r="8" spans="1:6" ht="33" customHeight="1">
      <c r="A8" s="29" t="s">
        <v>1</v>
      </c>
      <c r="B8" s="35" t="s">
        <v>133</v>
      </c>
      <c r="C8" s="81">
        <v>0</v>
      </c>
      <c r="D8" s="25">
        <f>C8</f>
        <v>0</v>
      </c>
      <c r="E8" s="96" t="str">
        <f aca="true" t="shared" si="0" ref="E8:E64">IF(C8=D8,"-",D8-C8)</f>
        <v>-</v>
      </c>
      <c r="F8" s="97" t="str">
        <f aca="true" t="shared" si="1" ref="F8:F64">IF(C8=0,"-",D8/C8)</f>
        <v>-</v>
      </c>
    </row>
    <row r="9" spans="1:6" ht="33" customHeight="1">
      <c r="A9" s="29" t="s">
        <v>2</v>
      </c>
      <c r="B9" s="35" t="s">
        <v>134</v>
      </c>
      <c r="C9" s="81">
        <v>0</v>
      </c>
      <c r="D9" s="25">
        <f aca="true" t="shared" si="2" ref="D9:D36">C9</f>
        <v>0</v>
      </c>
      <c r="E9" s="96" t="str">
        <f t="shared" si="0"/>
        <v>-</v>
      </c>
      <c r="F9" s="97" t="str">
        <f t="shared" si="1"/>
        <v>-</v>
      </c>
    </row>
    <row r="10" spans="1:6" ht="33" customHeight="1">
      <c r="A10" s="29" t="s">
        <v>3</v>
      </c>
      <c r="B10" s="35" t="s">
        <v>131</v>
      </c>
      <c r="C10" s="81">
        <v>0</v>
      </c>
      <c r="D10" s="25">
        <f t="shared" si="2"/>
        <v>0</v>
      </c>
      <c r="E10" s="96" t="str">
        <f t="shared" si="0"/>
        <v>-</v>
      </c>
      <c r="F10" s="97" t="str">
        <f t="shared" si="1"/>
        <v>-</v>
      </c>
    </row>
    <row r="11" spans="1:6" ht="31.5" customHeight="1">
      <c r="A11" s="28" t="s">
        <v>57</v>
      </c>
      <c r="B11" s="34" t="s">
        <v>160</v>
      </c>
      <c r="C11" s="81">
        <v>0</v>
      </c>
      <c r="D11" s="25">
        <f t="shared" si="2"/>
        <v>0</v>
      </c>
      <c r="E11" s="96" t="str">
        <f t="shared" si="0"/>
        <v>-</v>
      </c>
      <c r="F11" s="97" t="str">
        <f t="shared" si="1"/>
        <v>-</v>
      </c>
    </row>
    <row r="12" spans="1:6" ht="31.5" customHeight="1">
      <c r="A12" s="28" t="s">
        <v>161</v>
      </c>
      <c r="B12" s="34" t="s">
        <v>164</v>
      </c>
      <c r="C12" s="81">
        <v>0</v>
      </c>
      <c r="D12" s="25">
        <f t="shared" si="2"/>
        <v>0</v>
      </c>
      <c r="E12" s="96" t="str">
        <f t="shared" si="0"/>
        <v>-</v>
      </c>
      <c r="F12" s="97" t="str">
        <f t="shared" si="1"/>
        <v>-</v>
      </c>
    </row>
    <row r="13" spans="1:6" ht="31.5" customHeight="1">
      <c r="A13" s="28" t="s">
        <v>162</v>
      </c>
      <c r="B13" s="34" t="s">
        <v>165</v>
      </c>
      <c r="C13" s="81">
        <v>0</v>
      </c>
      <c r="D13" s="25">
        <f t="shared" si="2"/>
        <v>0</v>
      </c>
      <c r="E13" s="96" t="str">
        <f t="shared" si="0"/>
        <v>-</v>
      </c>
      <c r="F13" s="97" t="str">
        <f t="shared" si="1"/>
        <v>-</v>
      </c>
    </row>
    <row r="14" spans="1:6" ht="31.5" customHeight="1">
      <c r="A14" s="28" t="s">
        <v>163</v>
      </c>
      <c r="B14" s="34" t="s">
        <v>166</v>
      </c>
      <c r="C14" s="81">
        <v>0</v>
      </c>
      <c r="D14" s="25">
        <f t="shared" si="2"/>
        <v>0</v>
      </c>
      <c r="E14" s="96" t="str">
        <f t="shared" si="0"/>
        <v>-</v>
      </c>
      <c r="F14" s="97" t="str">
        <f t="shared" si="1"/>
        <v>-</v>
      </c>
    </row>
    <row r="15" spans="1:6" ht="33" customHeight="1">
      <c r="A15" s="29" t="s">
        <v>4</v>
      </c>
      <c r="B15" s="35" t="s">
        <v>139</v>
      </c>
      <c r="C15" s="81">
        <v>0</v>
      </c>
      <c r="D15" s="25">
        <f t="shared" si="2"/>
        <v>0</v>
      </c>
      <c r="E15" s="96" t="str">
        <f t="shared" si="0"/>
        <v>-</v>
      </c>
      <c r="F15" s="97" t="str">
        <f t="shared" si="1"/>
        <v>-</v>
      </c>
    </row>
    <row r="16" spans="1:6" ht="33" customHeight="1">
      <c r="A16" s="29" t="s">
        <v>5</v>
      </c>
      <c r="B16" s="35" t="s">
        <v>135</v>
      </c>
      <c r="C16" s="81">
        <v>0</v>
      </c>
      <c r="D16" s="25">
        <f t="shared" si="2"/>
        <v>0</v>
      </c>
      <c r="E16" s="96" t="str">
        <f t="shared" si="0"/>
        <v>-</v>
      </c>
      <c r="F16" s="97" t="str">
        <f t="shared" si="1"/>
        <v>-</v>
      </c>
    </row>
    <row r="17" spans="1:6" ht="33" customHeight="1">
      <c r="A17" s="29" t="s">
        <v>6</v>
      </c>
      <c r="B17" s="35" t="s">
        <v>141</v>
      </c>
      <c r="C17" s="81">
        <v>0</v>
      </c>
      <c r="D17" s="25">
        <f t="shared" si="2"/>
        <v>0</v>
      </c>
      <c r="E17" s="96" t="str">
        <f t="shared" si="0"/>
        <v>-</v>
      </c>
      <c r="F17" s="97" t="str">
        <f t="shared" si="1"/>
        <v>-</v>
      </c>
    </row>
    <row r="18" spans="1:6" ht="33" customHeight="1">
      <c r="A18" s="29" t="s">
        <v>7</v>
      </c>
      <c r="B18" s="35" t="s">
        <v>140</v>
      </c>
      <c r="C18" s="81">
        <v>0</v>
      </c>
      <c r="D18" s="25">
        <f t="shared" si="2"/>
        <v>0</v>
      </c>
      <c r="E18" s="96" t="str">
        <f t="shared" si="0"/>
        <v>-</v>
      </c>
      <c r="F18" s="97" t="str">
        <f t="shared" si="1"/>
        <v>-</v>
      </c>
    </row>
    <row r="19" spans="1:6" ht="33" customHeight="1">
      <c r="A19" s="29" t="s">
        <v>8</v>
      </c>
      <c r="B19" s="35" t="s">
        <v>136</v>
      </c>
      <c r="C19" s="81">
        <v>0</v>
      </c>
      <c r="D19" s="25">
        <f t="shared" si="2"/>
        <v>0</v>
      </c>
      <c r="E19" s="96" t="str">
        <f t="shared" si="0"/>
        <v>-</v>
      </c>
      <c r="F19" s="97" t="str">
        <f t="shared" si="1"/>
        <v>-</v>
      </c>
    </row>
    <row r="20" spans="1:6" ht="33" customHeight="1">
      <c r="A20" s="29" t="s">
        <v>9</v>
      </c>
      <c r="B20" s="35" t="s">
        <v>137</v>
      </c>
      <c r="C20" s="81">
        <v>0</v>
      </c>
      <c r="D20" s="25">
        <f t="shared" si="2"/>
        <v>0</v>
      </c>
      <c r="E20" s="96" t="str">
        <f t="shared" si="0"/>
        <v>-</v>
      </c>
      <c r="F20" s="97" t="str">
        <f t="shared" si="1"/>
        <v>-</v>
      </c>
    </row>
    <row r="21" spans="1:6" ht="33" customHeight="1">
      <c r="A21" s="29" t="s">
        <v>10</v>
      </c>
      <c r="B21" s="35" t="s">
        <v>142</v>
      </c>
      <c r="C21" s="81">
        <v>0</v>
      </c>
      <c r="D21" s="25">
        <f t="shared" si="2"/>
        <v>0</v>
      </c>
      <c r="E21" s="96" t="str">
        <f t="shared" si="0"/>
        <v>-</v>
      </c>
      <c r="F21" s="97" t="str">
        <f t="shared" si="1"/>
        <v>-</v>
      </c>
    </row>
    <row r="22" spans="1:6" ht="46.5" customHeight="1">
      <c r="A22" s="29" t="s">
        <v>11</v>
      </c>
      <c r="B22" s="35" t="s">
        <v>138</v>
      </c>
      <c r="C22" s="81">
        <v>0</v>
      </c>
      <c r="D22" s="25">
        <f t="shared" si="2"/>
        <v>0</v>
      </c>
      <c r="E22" s="96" t="str">
        <f t="shared" si="0"/>
        <v>-</v>
      </c>
      <c r="F22" s="97" t="str">
        <f t="shared" si="1"/>
        <v>-</v>
      </c>
    </row>
    <row r="23" spans="1:6" ht="33" customHeight="1">
      <c r="A23" s="29" t="s">
        <v>12</v>
      </c>
      <c r="B23" s="35" t="s">
        <v>185</v>
      </c>
      <c r="C23" s="81">
        <v>0</v>
      </c>
      <c r="D23" s="25">
        <f t="shared" si="2"/>
        <v>0</v>
      </c>
      <c r="E23" s="96" t="str">
        <f t="shared" si="0"/>
        <v>-</v>
      </c>
      <c r="F23" s="97" t="str">
        <f t="shared" si="1"/>
        <v>-</v>
      </c>
    </row>
    <row r="24" spans="1:6" ht="33" customHeight="1">
      <c r="A24" s="29" t="s">
        <v>13</v>
      </c>
      <c r="B24" s="35" t="s">
        <v>167</v>
      </c>
      <c r="C24" s="81">
        <v>0</v>
      </c>
      <c r="D24" s="25">
        <f t="shared" si="2"/>
        <v>0</v>
      </c>
      <c r="E24" s="96" t="str">
        <f t="shared" si="0"/>
        <v>-</v>
      </c>
      <c r="F24" s="97" t="str">
        <f t="shared" si="1"/>
        <v>-</v>
      </c>
    </row>
    <row r="25" spans="1:6" ht="33" customHeight="1">
      <c r="A25" s="30" t="s">
        <v>14</v>
      </c>
      <c r="B25" s="78" t="s">
        <v>249</v>
      </c>
      <c r="C25" s="81">
        <v>0</v>
      </c>
      <c r="D25" s="25">
        <f>C25</f>
        <v>0</v>
      </c>
      <c r="E25" s="96" t="str">
        <f t="shared" si="0"/>
        <v>-</v>
      </c>
      <c r="F25" s="97" t="str">
        <f t="shared" si="1"/>
        <v>-</v>
      </c>
    </row>
    <row r="26" spans="1:6" ht="31.5">
      <c r="A26" s="28" t="s">
        <v>143</v>
      </c>
      <c r="B26" s="34" t="s">
        <v>170</v>
      </c>
      <c r="C26" s="81">
        <v>0</v>
      </c>
      <c r="D26" s="25">
        <f t="shared" si="2"/>
        <v>0</v>
      </c>
      <c r="E26" s="96" t="str">
        <f t="shared" si="0"/>
        <v>-</v>
      </c>
      <c r="F26" s="97" t="str">
        <f t="shared" si="1"/>
        <v>-</v>
      </c>
    </row>
    <row r="27" spans="1:6" ht="31.5" customHeight="1">
      <c r="A27" s="28" t="s">
        <v>169</v>
      </c>
      <c r="B27" s="34" t="s">
        <v>172</v>
      </c>
      <c r="C27" s="81">
        <v>0</v>
      </c>
      <c r="D27" s="25">
        <f t="shared" si="2"/>
        <v>0</v>
      </c>
      <c r="E27" s="96" t="str">
        <f t="shared" si="0"/>
        <v>-</v>
      </c>
      <c r="F27" s="97" t="str">
        <f t="shared" si="1"/>
        <v>-</v>
      </c>
    </row>
    <row r="28" spans="1:6" ht="31.5" customHeight="1">
      <c r="A28" s="28" t="s">
        <v>173</v>
      </c>
      <c r="B28" s="34" t="s">
        <v>171</v>
      </c>
      <c r="C28" s="81">
        <v>0</v>
      </c>
      <c r="D28" s="25">
        <f t="shared" si="2"/>
        <v>0</v>
      </c>
      <c r="E28" s="96" t="str">
        <f t="shared" si="0"/>
        <v>-</v>
      </c>
      <c r="F28" s="97" t="str">
        <f t="shared" si="1"/>
        <v>-</v>
      </c>
    </row>
    <row r="29" spans="1:6" ht="33" customHeight="1">
      <c r="A29" s="31" t="s">
        <v>15</v>
      </c>
      <c r="B29" s="36" t="s">
        <v>122</v>
      </c>
      <c r="C29" s="81">
        <v>399133</v>
      </c>
      <c r="D29" s="25">
        <f t="shared" si="2"/>
        <v>399133</v>
      </c>
      <c r="E29" s="96" t="str">
        <f t="shared" si="0"/>
        <v>-</v>
      </c>
      <c r="F29" s="97">
        <f t="shared" si="1"/>
        <v>1</v>
      </c>
    </row>
    <row r="30" spans="1:6" ht="33" customHeight="1">
      <c r="A30" s="31" t="s">
        <v>119</v>
      </c>
      <c r="B30" s="37" t="s">
        <v>174</v>
      </c>
      <c r="C30" s="81">
        <v>19196</v>
      </c>
      <c r="D30" s="25">
        <f t="shared" si="2"/>
        <v>19196</v>
      </c>
      <c r="E30" s="96" t="str">
        <f t="shared" si="0"/>
        <v>-</v>
      </c>
      <c r="F30" s="97">
        <f t="shared" si="1"/>
        <v>1</v>
      </c>
    </row>
    <row r="31" spans="1:6" ht="31.5" customHeight="1">
      <c r="A31" s="28" t="s">
        <v>175</v>
      </c>
      <c r="B31" s="34" t="s">
        <v>187</v>
      </c>
      <c r="C31" s="81">
        <v>0</v>
      </c>
      <c r="D31" s="25">
        <f t="shared" si="2"/>
        <v>0</v>
      </c>
      <c r="E31" s="96" t="str">
        <f t="shared" si="0"/>
        <v>-</v>
      </c>
      <c r="F31" s="97" t="str">
        <f t="shared" si="1"/>
        <v>-</v>
      </c>
    </row>
    <row r="32" spans="1:6" ht="33" customHeight="1">
      <c r="A32" s="31" t="s">
        <v>120</v>
      </c>
      <c r="B32" s="37" t="s">
        <v>123</v>
      </c>
      <c r="C32" s="81">
        <v>0</v>
      </c>
      <c r="D32" s="25">
        <f t="shared" si="2"/>
        <v>0</v>
      </c>
      <c r="E32" s="96" t="str">
        <f t="shared" si="0"/>
        <v>-</v>
      </c>
      <c r="F32" s="97" t="str">
        <f t="shared" si="1"/>
        <v>-</v>
      </c>
    </row>
    <row r="33" spans="1:6" ht="33" customHeight="1">
      <c r="A33" s="31" t="s">
        <v>121</v>
      </c>
      <c r="B33" s="37" t="s">
        <v>186</v>
      </c>
      <c r="C33" s="81">
        <v>0</v>
      </c>
      <c r="D33" s="25">
        <f t="shared" si="2"/>
        <v>0</v>
      </c>
      <c r="E33" s="96" t="str">
        <f t="shared" si="0"/>
        <v>-</v>
      </c>
      <c r="F33" s="97" t="str">
        <f t="shared" si="1"/>
        <v>-</v>
      </c>
    </row>
    <row r="34" spans="1:6" ht="51.75" customHeight="1">
      <c r="A34" s="31" t="s">
        <v>246</v>
      </c>
      <c r="B34" s="37" t="s">
        <v>247</v>
      </c>
      <c r="C34" s="81">
        <v>305934</v>
      </c>
      <c r="D34" s="25">
        <f>C34</f>
        <v>305934</v>
      </c>
      <c r="E34" s="96" t="str">
        <f>IF(C34=D34,"-",D34-C34)</f>
        <v>-</v>
      </c>
      <c r="F34" s="97">
        <f>IF(C34=0,"-",D34/C34)</f>
        <v>1</v>
      </c>
    </row>
    <row r="35" spans="1:6" s="5" customFormat="1" ht="31.5" customHeight="1">
      <c r="A35" s="32" t="s">
        <v>59</v>
      </c>
      <c r="B35" s="38" t="s">
        <v>60</v>
      </c>
      <c r="C35" s="84">
        <v>0</v>
      </c>
      <c r="D35" s="92">
        <f t="shared" si="2"/>
        <v>0</v>
      </c>
      <c r="E35" s="15" t="str">
        <f t="shared" si="0"/>
        <v>-</v>
      </c>
      <c r="F35" s="98" t="str">
        <f t="shared" si="1"/>
        <v>-</v>
      </c>
    </row>
    <row r="36" spans="1:6" s="5" customFormat="1" ht="31.5" customHeight="1">
      <c r="A36" s="32" t="s">
        <v>58</v>
      </c>
      <c r="B36" s="38" t="s">
        <v>61</v>
      </c>
      <c r="C36" s="84">
        <v>0</v>
      </c>
      <c r="D36" s="93">
        <f t="shared" si="2"/>
        <v>0</v>
      </c>
      <c r="E36" s="15" t="str">
        <f t="shared" si="0"/>
        <v>-</v>
      </c>
      <c r="F36" s="98" t="str">
        <f t="shared" si="1"/>
        <v>-</v>
      </c>
    </row>
    <row r="37" spans="1:6" s="5" customFormat="1" ht="42.75" customHeight="1">
      <c r="A37" s="32" t="s">
        <v>176</v>
      </c>
      <c r="B37" s="38" t="s">
        <v>177</v>
      </c>
      <c r="C37" s="84">
        <v>0</v>
      </c>
      <c r="D37" s="84">
        <f>D12+D14+D25+D31</f>
        <v>0</v>
      </c>
      <c r="E37" s="15" t="str">
        <f t="shared" si="0"/>
        <v>-</v>
      </c>
      <c r="F37" s="98" t="str">
        <f t="shared" si="1"/>
        <v>-</v>
      </c>
    </row>
    <row r="38" spans="1:6" s="3" customFormat="1" ht="30" customHeight="1">
      <c r="A38" s="26" t="s">
        <v>16</v>
      </c>
      <c r="B38" s="46" t="s">
        <v>250</v>
      </c>
      <c r="C38" s="24">
        <f>C39+C40+C41+C49+C51+C57+C58+C56</f>
        <v>206155</v>
      </c>
      <c r="D38" s="24">
        <f>D39+D40+D41+D49+D51+D57+D58+D56</f>
        <v>206155</v>
      </c>
      <c r="E38" s="13" t="str">
        <f t="shared" si="0"/>
        <v>-</v>
      </c>
      <c r="F38" s="99">
        <f t="shared" si="1"/>
        <v>1</v>
      </c>
    </row>
    <row r="39" spans="1:6" ht="28.5" customHeight="1">
      <c r="A39" s="31" t="s">
        <v>17</v>
      </c>
      <c r="B39" s="40" t="s">
        <v>18</v>
      </c>
      <c r="C39" s="81">
        <v>5016</v>
      </c>
      <c r="D39" s="85">
        <f>C39</f>
        <v>5016</v>
      </c>
      <c r="E39" s="96" t="str">
        <f t="shared" si="0"/>
        <v>-</v>
      </c>
      <c r="F39" s="97">
        <f t="shared" si="1"/>
        <v>1</v>
      </c>
    </row>
    <row r="40" spans="1:6" ht="28.5" customHeight="1">
      <c r="A40" s="31" t="s">
        <v>19</v>
      </c>
      <c r="B40" s="40" t="s">
        <v>20</v>
      </c>
      <c r="C40" s="81">
        <v>100191</v>
      </c>
      <c r="D40" s="85">
        <f aca="true" t="shared" si="3" ref="D40:D58">C40</f>
        <v>100191</v>
      </c>
      <c r="E40" s="96" t="str">
        <f t="shared" si="0"/>
        <v>-</v>
      </c>
      <c r="F40" s="97">
        <f t="shared" si="1"/>
        <v>1</v>
      </c>
    </row>
    <row r="41" spans="1:6" ht="28.5" customHeight="1">
      <c r="A41" s="31" t="s">
        <v>21</v>
      </c>
      <c r="B41" s="41" t="s">
        <v>251</v>
      </c>
      <c r="C41" s="85">
        <f>C42+C44+C45+C46+C47+C48</f>
        <v>490</v>
      </c>
      <c r="D41" s="85">
        <f>D42+D44+D45+D46+D47+D48</f>
        <v>490</v>
      </c>
      <c r="E41" s="96" t="str">
        <f t="shared" si="0"/>
        <v>-</v>
      </c>
      <c r="F41" s="97">
        <f t="shared" si="1"/>
        <v>1</v>
      </c>
    </row>
    <row r="42" spans="1:6" ht="28.5" customHeight="1">
      <c r="A42" s="42" t="s">
        <v>39</v>
      </c>
      <c r="B42" s="43" t="s">
        <v>32</v>
      </c>
      <c r="C42" s="81">
        <v>43</v>
      </c>
      <c r="D42" s="85">
        <f t="shared" si="3"/>
        <v>43</v>
      </c>
      <c r="E42" s="96" t="str">
        <f t="shared" si="0"/>
        <v>-</v>
      </c>
      <c r="F42" s="97">
        <f t="shared" si="1"/>
        <v>1</v>
      </c>
    </row>
    <row r="43" spans="1:6" ht="28.5" customHeight="1">
      <c r="A43" s="42" t="s">
        <v>40</v>
      </c>
      <c r="B43" s="44" t="s">
        <v>33</v>
      </c>
      <c r="C43" s="81">
        <v>43</v>
      </c>
      <c r="D43" s="85">
        <f t="shared" si="3"/>
        <v>43</v>
      </c>
      <c r="E43" s="96" t="str">
        <f t="shared" si="0"/>
        <v>-</v>
      </c>
      <c r="F43" s="97">
        <f t="shared" si="1"/>
        <v>1</v>
      </c>
    </row>
    <row r="44" spans="1:6" ht="28.5" customHeight="1">
      <c r="A44" s="42" t="s">
        <v>41</v>
      </c>
      <c r="B44" s="43" t="s">
        <v>34</v>
      </c>
      <c r="C44" s="81">
        <v>30</v>
      </c>
      <c r="D44" s="85">
        <f t="shared" si="3"/>
        <v>30</v>
      </c>
      <c r="E44" s="96" t="str">
        <f t="shared" si="0"/>
        <v>-</v>
      </c>
      <c r="F44" s="97">
        <f t="shared" si="1"/>
        <v>1</v>
      </c>
    </row>
    <row r="45" spans="1:6" ht="28.5" customHeight="1">
      <c r="A45" s="42" t="s">
        <v>42</v>
      </c>
      <c r="B45" s="43" t="s">
        <v>35</v>
      </c>
      <c r="C45" s="81">
        <v>17</v>
      </c>
      <c r="D45" s="85">
        <f t="shared" si="3"/>
        <v>17</v>
      </c>
      <c r="E45" s="96" t="str">
        <f t="shared" si="0"/>
        <v>-</v>
      </c>
      <c r="F45" s="97">
        <f t="shared" si="1"/>
        <v>1</v>
      </c>
    </row>
    <row r="46" spans="1:6" ht="28.5" customHeight="1">
      <c r="A46" s="42" t="s">
        <v>43</v>
      </c>
      <c r="B46" s="43" t="s">
        <v>36</v>
      </c>
      <c r="C46" s="81">
        <v>0</v>
      </c>
      <c r="D46" s="85">
        <f t="shared" si="3"/>
        <v>0</v>
      </c>
      <c r="E46" s="96" t="str">
        <f t="shared" si="0"/>
        <v>-</v>
      </c>
      <c r="F46" s="97" t="str">
        <f t="shared" si="1"/>
        <v>-</v>
      </c>
    </row>
    <row r="47" spans="1:6" ht="28.5" customHeight="1">
      <c r="A47" s="42" t="s">
        <v>44</v>
      </c>
      <c r="B47" s="43" t="s">
        <v>37</v>
      </c>
      <c r="C47" s="81">
        <v>360</v>
      </c>
      <c r="D47" s="85">
        <f t="shared" si="3"/>
        <v>360</v>
      </c>
      <c r="E47" s="96" t="str">
        <f t="shared" si="0"/>
        <v>-</v>
      </c>
      <c r="F47" s="97">
        <f t="shared" si="1"/>
        <v>1</v>
      </c>
    </row>
    <row r="48" spans="1:6" ht="28.5" customHeight="1">
      <c r="A48" s="42" t="s">
        <v>45</v>
      </c>
      <c r="B48" s="43" t="s">
        <v>38</v>
      </c>
      <c r="C48" s="81">
        <v>40</v>
      </c>
      <c r="D48" s="85">
        <f t="shared" si="3"/>
        <v>40</v>
      </c>
      <c r="E48" s="96" t="str">
        <f t="shared" si="0"/>
        <v>-</v>
      </c>
      <c r="F48" s="97">
        <f t="shared" si="1"/>
        <v>1</v>
      </c>
    </row>
    <row r="49" spans="1:6" ht="28.5" customHeight="1">
      <c r="A49" s="31" t="s">
        <v>22</v>
      </c>
      <c r="B49" s="40" t="s">
        <v>178</v>
      </c>
      <c r="C49" s="81">
        <v>32533</v>
      </c>
      <c r="D49" s="85">
        <f t="shared" si="3"/>
        <v>32533</v>
      </c>
      <c r="E49" s="96" t="str">
        <f t="shared" si="0"/>
        <v>-</v>
      </c>
      <c r="F49" s="97">
        <f t="shared" si="1"/>
        <v>1</v>
      </c>
    </row>
    <row r="50" spans="1:6" ht="28.5" customHeight="1">
      <c r="A50" s="42" t="s">
        <v>179</v>
      </c>
      <c r="B50" s="43" t="s">
        <v>180</v>
      </c>
      <c r="C50" s="81">
        <v>372</v>
      </c>
      <c r="D50" s="85">
        <f t="shared" si="3"/>
        <v>372</v>
      </c>
      <c r="E50" s="96" t="str">
        <f t="shared" si="0"/>
        <v>-</v>
      </c>
      <c r="F50" s="97">
        <f t="shared" si="1"/>
        <v>1</v>
      </c>
    </row>
    <row r="51" spans="1:6" ht="28.5" customHeight="1">
      <c r="A51" s="31" t="s">
        <v>23</v>
      </c>
      <c r="B51" s="41" t="s">
        <v>252</v>
      </c>
      <c r="C51" s="77">
        <f>SUM(C52:C55)</f>
        <v>8161</v>
      </c>
      <c r="D51" s="77">
        <f>SUM(D52:D55)</f>
        <v>8161</v>
      </c>
      <c r="E51" s="96" t="str">
        <f t="shared" si="0"/>
        <v>-</v>
      </c>
      <c r="F51" s="97">
        <f t="shared" si="1"/>
        <v>1</v>
      </c>
    </row>
    <row r="52" spans="1:6" ht="28.5" customHeight="1">
      <c r="A52" s="42" t="s">
        <v>50</v>
      </c>
      <c r="B52" s="43" t="s">
        <v>46</v>
      </c>
      <c r="C52" s="81">
        <v>5601</v>
      </c>
      <c r="D52" s="85">
        <f t="shared" si="3"/>
        <v>5601</v>
      </c>
      <c r="E52" s="96" t="str">
        <f t="shared" si="0"/>
        <v>-</v>
      </c>
      <c r="F52" s="97">
        <f t="shared" si="1"/>
        <v>1</v>
      </c>
    </row>
    <row r="53" spans="1:6" ht="28.5" customHeight="1">
      <c r="A53" s="42" t="s">
        <v>51</v>
      </c>
      <c r="B53" s="43" t="s">
        <v>47</v>
      </c>
      <c r="C53" s="81">
        <v>799</v>
      </c>
      <c r="D53" s="85">
        <f t="shared" si="3"/>
        <v>799</v>
      </c>
      <c r="E53" s="96" t="str">
        <f t="shared" si="0"/>
        <v>-</v>
      </c>
      <c r="F53" s="97">
        <f t="shared" si="1"/>
        <v>1</v>
      </c>
    </row>
    <row r="54" spans="1:6" ht="28.5" customHeight="1">
      <c r="A54" s="42" t="s">
        <v>52</v>
      </c>
      <c r="B54" s="43" t="s">
        <v>48</v>
      </c>
      <c r="C54" s="81">
        <v>0</v>
      </c>
      <c r="D54" s="85">
        <f t="shared" si="3"/>
        <v>0</v>
      </c>
      <c r="E54" s="96" t="str">
        <f t="shared" si="0"/>
        <v>-</v>
      </c>
      <c r="F54" s="97" t="str">
        <f t="shared" si="1"/>
        <v>-</v>
      </c>
    </row>
    <row r="55" spans="1:6" ht="28.5" customHeight="1">
      <c r="A55" s="42" t="s">
        <v>53</v>
      </c>
      <c r="B55" s="43" t="s">
        <v>49</v>
      </c>
      <c r="C55" s="81">
        <v>1761</v>
      </c>
      <c r="D55" s="85">
        <f t="shared" si="3"/>
        <v>1761</v>
      </c>
      <c r="E55" s="96" t="str">
        <f t="shared" si="0"/>
        <v>-</v>
      </c>
      <c r="F55" s="97">
        <f t="shared" si="1"/>
        <v>1</v>
      </c>
    </row>
    <row r="56" spans="1:6" ht="28.5" customHeight="1">
      <c r="A56" s="31" t="s">
        <v>24</v>
      </c>
      <c r="B56" s="40" t="s">
        <v>25</v>
      </c>
      <c r="C56" s="81">
        <v>50</v>
      </c>
      <c r="D56" s="85">
        <f t="shared" si="3"/>
        <v>50</v>
      </c>
      <c r="E56" s="96" t="str">
        <f t="shared" si="0"/>
        <v>-</v>
      </c>
      <c r="F56" s="97">
        <f t="shared" si="1"/>
        <v>1</v>
      </c>
    </row>
    <row r="57" spans="1:6" ht="28.5" customHeight="1">
      <c r="A57" s="31" t="s">
        <v>26</v>
      </c>
      <c r="B57" s="40" t="s">
        <v>181</v>
      </c>
      <c r="C57" s="81">
        <v>57574</v>
      </c>
      <c r="D57" s="85">
        <f t="shared" si="3"/>
        <v>57574</v>
      </c>
      <c r="E57" s="96" t="str">
        <f t="shared" si="0"/>
        <v>-</v>
      </c>
      <c r="F57" s="100">
        <f t="shared" si="1"/>
        <v>1</v>
      </c>
    </row>
    <row r="58" spans="1:6" ht="28.5" customHeight="1">
      <c r="A58" s="31" t="s">
        <v>27</v>
      </c>
      <c r="B58" s="40" t="s">
        <v>28</v>
      </c>
      <c r="C58" s="81">
        <v>2140</v>
      </c>
      <c r="D58" s="85">
        <f t="shared" si="3"/>
        <v>2140</v>
      </c>
      <c r="E58" s="96" t="str">
        <f t="shared" si="0"/>
        <v>-</v>
      </c>
      <c r="F58" s="97">
        <f t="shared" si="1"/>
        <v>1</v>
      </c>
    </row>
    <row r="59" spans="1:6" s="3" customFormat="1" ht="30" customHeight="1">
      <c r="A59" s="33" t="s">
        <v>29</v>
      </c>
      <c r="B59" s="45" t="s">
        <v>182</v>
      </c>
      <c r="C59" s="27">
        <f>C60+C61+C62+C63</f>
        <v>53634</v>
      </c>
      <c r="D59" s="27">
        <f>D60+D61+D62+D63</f>
        <v>53634</v>
      </c>
      <c r="E59" s="13" t="str">
        <f t="shared" si="0"/>
        <v>-</v>
      </c>
      <c r="F59" s="101">
        <f t="shared" si="1"/>
        <v>1</v>
      </c>
    </row>
    <row r="60" spans="1:6" ht="42" customHeight="1">
      <c r="A60" s="31" t="s">
        <v>102</v>
      </c>
      <c r="B60" s="40" t="s">
        <v>124</v>
      </c>
      <c r="C60" s="81">
        <v>338</v>
      </c>
      <c r="D60" s="85">
        <f>C60</f>
        <v>338</v>
      </c>
      <c r="E60" s="77" t="str">
        <f t="shared" si="0"/>
        <v>-</v>
      </c>
      <c r="F60" s="97">
        <f t="shared" si="1"/>
        <v>1</v>
      </c>
    </row>
    <row r="61" spans="1:6" ht="31.5" customHeight="1">
      <c r="A61" s="31" t="s">
        <v>30</v>
      </c>
      <c r="B61" s="40" t="s">
        <v>56</v>
      </c>
      <c r="C61" s="81">
        <v>340</v>
      </c>
      <c r="D61" s="85">
        <f>C61</f>
        <v>340</v>
      </c>
      <c r="E61" s="77" t="str">
        <f t="shared" si="0"/>
        <v>-</v>
      </c>
      <c r="F61" s="97">
        <f t="shared" si="1"/>
        <v>1</v>
      </c>
    </row>
    <row r="62" spans="1:6" ht="31.5" customHeight="1">
      <c r="A62" s="31" t="s">
        <v>31</v>
      </c>
      <c r="B62" s="40" t="s">
        <v>104</v>
      </c>
      <c r="C62" s="81">
        <v>46737</v>
      </c>
      <c r="D62" s="85">
        <f>C62</f>
        <v>46737</v>
      </c>
      <c r="E62" s="77" t="str">
        <f t="shared" si="0"/>
        <v>-</v>
      </c>
      <c r="F62" s="97">
        <f t="shared" si="1"/>
        <v>1</v>
      </c>
    </row>
    <row r="63" spans="1:6" ht="31.5" customHeight="1">
      <c r="A63" s="31" t="s">
        <v>103</v>
      </c>
      <c r="B63" s="40" t="s">
        <v>105</v>
      </c>
      <c r="C63" s="81">
        <v>6219</v>
      </c>
      <c r="D63" s="85">
        <f>C63</f>
        <v>6219</v>
      </c>
      <c r="E63" s="77" t="str">
        <f t="shared" si="0"/>
        <v>-</v>
      </c>
      <c r="F63" s="97">
        <f t="shared" si="1"/>
        <v>1</v>
      </c>
    </row>
    <row r="64" spans="1:6" ht="32.25" customHeight="1">
      <c r="A64" s="33" t="s">
        <v>110</v>
      </c>
      <c r="B64" s="45" t="s">
        <v>129</v>
      </c>
      <c r="C64" s="27">
        <v>6119</v>
      </c>
      <c r="D64" s="27">
        <f>C64</f>
        <v>6119</v>
      </c>
      <c r="E64" s="13" t="str">
        <f t="shared" si="0"/>
        <v>-</v>
      </c>
      <c r="F64" s="101">
        <f t="shared" si="1"/>
        <v>1</v>
      </c>
    </row>
    <row r="70" ht="12.75">
      <c r="C70" s="86"/>
    </row>
  </sheetData>
  <sheetProtection/>
  <mergeCells count="7">
    <mergeCell ref="F4:F5"/>
    <mergeCell ref="A1:F1"/>
    <mergeCell ref="C4:C5"/>
    <mergeCell ref="A4:A5"/>
    <mergeCell ref="B4:B5"/>
    <mergeCell ref="D4:D5"/>
    <mergeCell ref="E4:E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8" r:id="rId1"/>
  <headerFooter alignWithMargins="0">
    <oddFooter>&amp;R&amp;20&amp;P</oddFooter>
  </headerFooter>
  <ignoredErrors>
    <ignoredError sqref="F57" unlockedFormula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V86"/>
  <sheetViews>
    <sheetView showGridLines="0" zoomScale="55" zoomScaleNormal="55" zoomScalePageLayoutView="0" workbookViewId="0" topLeftCell="A1">
      <pane xSplit="4" ySplit="6" topLeftCell="E28" activePane="bottomRight" state="frozen"/>
      <selection pane="topLeft" activeCell="U16" sqref="U16"/>
      <selection pane="topRight" activeCell="U16" sqref="U16"/>
      <selection pane="bottomLeft" activeCell="U16" sqref="U16"/>
      <selection pane="bottomRight" activeCell="U16" sqref="U16"/>
    </sheetView>
  </sheetViews>
  <sheetFormatPr defaultColWidth="9.00390625" defaultRowHeight="12.75"/>
  <cols>
    <col min="1" max="1" width="10.875" style="0" customWidth="1"/>
    <col min="2" max="2" width="104.25390625" style="0" customWidth="1"/>
    <col min="3" max="3" width="13.75390625" style="0" customWidth="1"/>
    <col min="4" max="4" width="13.75390625" style="132" customWidth="1"/>
    <col min="5" max="20" width="13.75390625" style="0" customWidth="1"/>
    <col min="21" max="21" width="9.125" style="0" customWidth="1"/>
  </cols>
  <sheetData>
    <row r="1" spans="1:22" ht="15.75">
      <c r="A1" s="108"/>
      <c r="B1" s="108"/>
      <c r="C1" s="108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</row>
    <row r="2" spans="1:20" ht="25.5" customHeight="1">
      <c r="A2" s="154"/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</row>
    <row r="3" spans="1:20" ht="26.25">
      <c r="A3" s="1"/>
      <c r="B3" s="76"/>
      <c r="C3" s="109"/>
      <c r="D3" s="128"/>
      <c r="E3" s="143"/>
      <c r="F3" s="143"/>
      <c r="G3" s="144"/>
      <c r="H3" s="144"/>
      <c r="I3" s="144"/>
      <c r="J3" s="144"/>
      <c r="K3" s="145"/>
      <c r="L3" s="144"/>
      <c r="M3" s="144"/>
      <c r="N3" s="144"/>
      <c r="O3" s="144"/>
      <c r="P3" s="144"/>
      <c r="Q3" s="144"/>
      <c r="R3" s="143"/>
      <c r="S3" s="143"/>
      <c r="T3" s="143"/>
    </row>
    <row r="4" spans="1:20" ht="135" customHeight="1">
      <c r="A4" s="137" t="s">
        <v>132</v>
      </c>
      <c r="B4" s="137" t="s">
        <v>244</v>
      </c>
      <c r="C4" s="112" t="s">
        <v>196</v>
      </c>
      <c r="D4" s="138" t="s">
        <v>245</v>
      </c>
      <c r="E4" s="113" t="s">
        <v>198</v>
      </c>
      <c r="F4" s="113" t="s">
        <v>199</v>
      </c>
      <c r="G4" s="113" t="s">
        <v>200</v>
      </c>
      <c r="H4" s="113" t="s">
        <v>201</v>
      </c>
      <c r="I4" s="113" t="s">
        <v>202</v>
      </c>
      <c r="J4" s="113" t="s">
        <v>203</v>
      </c>
      <c r="K4" s="113" t="s">
        <v>204</v>
      </c>
      <c r="L4" s="113" t="s">
        <v>205</v>
      </c>
      <c r="M4" s="113" t="s">
        <v>206</v>
      </c>
      <c r="N4" s="113" t="s">
        <v>207</v>
      </c>
      <c r="O4" s="113" t="s">
        <v>208</v>
      </c>
      <c r="P4" s="113" t="s">
        <v>209</v>
      </c>
      <c r="Q4" s="113" t="s">
        <v>210</v>
      </c>
      <c r="R4" s="113" t="s">
        <v>211</v>
      </c>
      <c r="S4" s="113" t="s">
        <v>212</v>
      </c>
      <c r="T4" s="113" t="s">
        <v>213</v>
      </c>
    </row>
    <row r="5" spans="1:20" ht="23.25" customHeight="1">
      <c r="A5" s="114" t="s">
        <v>239</v>
      </c>
      <c r="B5" s="114" t="s">
        <v>215</v>
      </c>
      <c r="C5" s="114" t="s">
        <v>216</v>
      </c>
      <c r="D5" s="114" t="s">
        <v>218</v>
      </c>
      <c r="E5" s="114" t="s">
        <v>222</v>
      </c>
      <c r="F5" s="114" t="s">
        <v>223</v>
      </c>
      <c r="G5" s="114" t="s">
        <v>224</v>
      </c>
      <c r="H5" s="114" t="s">
        <v>225</v>
      </c>
      <c r="I5" s="114" t="s">
        <v>226</v>
      </c>
      <c r="J5" s="114" t="s">
        <v>227</v>
      </c>
      <c r="K5" s="114" t="s">
        <v>228</v>
      </c>
      <c r="L5" s="114" t="s">
        <v>229</v>
      </c>
      <c r="M5" s="114" t="s">
        <v>230</v>
      </c>
      <c r="N5" s="114" t="s">
        <v>231</v>
      </c>
      <c r="O5" s="114" t="s">
        <v>232</v>
      </c>
      <c r="P5" s="114" t="s">
        <v>233</v>
      </c>
      <c r="Q5" s="114" t="s">
        <v>240</v>
      </c>
      <c r="R5" s="114" t="s">
        <v>241</v>
      </c>
      <c r="S5" s="114" t="s">
        <v>242</v>
      </c>
      <c r="T5" s="114" t="s">
        <v>243</v>
      </c>
    </row>
    <row r="6" spans="1:20" ht="30" customHeight="1">
      <c r="A6" s="115" t="s">
        <v>0</v>
      </c>
      <c r="B6" s="116" t="s">
        <v>248</v>
      </c>
      <c r="C6" s="117" t="str">
        <f>CENTRALA!E7</f>
        <v>-</v>
      </c>
      <c r="D6" s="117">
        <f>D7+D8+D9+D14+D15+D16+D17+D18+D19+D20+D21+D22+D23+D24+D28+D29+D31+D32</f>
        <v>66464</v>
      </c>
      <c r="E6" s="117">
        <f>Dolnośląski!E7</f>
        <v>5007</v>
      </c>
      <c r="F6" s="117">
        <f>KujawskoPomorski!E7</f>
        <v>3612</v>
      </c>
      <c r="G6" s="117">
        <f>Lubelski!E7</f>
        <v>3806</v>
      </c>
      <c r="H6" s="117">
        <f>Lubuski!E7</f>
        <v>1737</v>
      </c>
      <c r="I6" s="117">
        <f>Łódzki!E7</f>
        <v>4577</v>
      </c>
      <c r="J6" s="117">
        <f>Małopolski!E7</f>
        <v>5634</v>
      </c>
      <c r="K6" s="117">
        <f>Mazowiecki!E7</f>
        <v>9478</v>
      </c>
      <c r="L6" s="117">
        <f>Opolski!E7</f>
        <v>1647</v>
      </c>
      <c r="M6" s="117">
        <f>Podkarpacki!E7</f>
        <v>3519</v>
      </c>
      <c r="N6" s="117">
        <f>Podlaski!E7</f>
        <v>2032</v>
      </c>
      <c r="O6" s="117">
        <f>Pomorski!E7</f>
        <v>3786</v>
      </c>
      <c r="P6" s="117">
        <f>Śląski!E7</f>
        <v>8158</v>
      </c>
      <c r="Q6" s="117">
        <f>Świętokrzyski!E7</f>
        <v>2276</v>
      </c>
      <c r="R6" s="117">
        <f>WarmińskoMazurski!E7</f>
        <v>2365</v>
      </c>
      <c r="S6" s="117">
        <f>Wielkopolski!E7</f>
        <v>5926</v>
      </c>
      <c r="T6" s="117">
        <f>Zachodniopomorski!E7</f>
        <v>2904</v>
      </c>
    </row>
    <row r="7" spans="1:20" ht="30" customHeight="1">
      <c r="A7" s="29" t="s">
        <v>1</v>
      </c>
      <c r="B7" s="35" t="s">
        <v>133</v>
      </c>
      <c r="C7" s="119" t="str">
        <f>CENTRALA!E8</f>
        <v>-</v>
      </c>
      <c r="D7" s="118">
        <f aca="true" t="shared" si="0" ref="D7:D39">SUM(E7:T7)</f>
        <v>1519</v>
      </c>
      <c r="E7" s="119" t="str">
        <f>Dolnośląski!E8</f>
        <v>-</v>
      </c>
      <c r="F7" s="119" t="str">
        <f>KujawskoPomorski!E8</f>
        <v>-</v>
      </c>
      <c r="G7" s="119" t="str">
        <f>Lubelski!E8</f>
        <v>-</v>
      </c>
      <c r="H7" s="119" t="str">
        <f>Lubuski!E8</f>
        <v>-</v>
      </c>
      <c r="I7" s="119" t="str">
        <f>Łódzki!E8</f>
        <v>-</v>
      </c>
      <c r="J7" s="119" t="str">
        <f>Małopolski!E8</f>
        <v>-</v>
      </c>
      <c r="K7" s="119" t="str">
        <f>Mazowiecki!E8</f>
        <v>-</v>
      </c>
      <c r="L7" s="119" t="str">
        <f>Opolski!E8</f>
        <v>-</v>
      </c>
      <c r="M7" s="119">
        <f>Podkarpacki!E8</f>
        <v>1519</v>
      </c>
      <c r="N7" s="119" t="str">
        <f>Podlaski!E8</f>
        <v>-</v>
      </c>
      <c r="O7" s="119" t="str">
        <f>Pomorski!E8</f>
        <v>-</v>
      </c>
      <c r="P7" s="119" t="str">
        <f>Śląski!E8</f>
        <v>-</v>
      </c>
      <c r="Q7" s="119" t="str">
        <f>Świętokrzyski!E8</f>
        <v>-</v>
      </c>
      <c r="R7" s="119" t="str">
        <f>WarmińskoMazurski!E8</f>
        <v>-</v>
      </c>
      <c r="S7" s="119" t="str">
        <f>Wielkopolski!E8</f>
        <v>-</v>
      </c>
      <c r="T7" s="119" t="str">
        <f>Zachodniopomorski!E8</f>
        <v>-</v>
      </c>
    </row>
    <row r="8" spans="1:20" ht="30" customHeight="1">
      <c r="A8" s="29" t="s">
        <v>2</v>
      </c>
      <c r="B8" s="35" t="s">
        <v>134</v>
      </c>
      <c r="C8" s="119" t="str">
        <f>CENTRALA!E9</f>
        <v>-</v>
      </c>
      <c r="D8" s="118">
        <f t="shared" si="0"/>
        <v>0</v>
      </c>
      <c r="E8" s="119" t="str">
        <f>Dolnośląski!E9</f>
        <v>-</v>
      </c>
      <c r="F8" s="119" t="str">
        <f>KujawskoPomorski!E9</f>
        <v>-</v>
      </c>
      <c r="G8" s="119" t="str">
        <f>Lubelski!E9</f>
        <v>-</v>
      </c>
      <c r="H8" s="119" t="str">
        <f>Lubuski!E9</f>
        <v>-</v>
      </c>
      <c r="I8" s="119" t="str">
        <f>Łódzki!E9</f>
        <v>-</v>
      </c>
      <c r="J8" s="119" t="str">
        <f>Małopolski!E9</f>
        <v>-</v>
      </c>
      <c r="K8" s="119" t="str">
        <f>Mazowiecki!E9</f>
        <v>-</v>
      </c>
      <c r="L8" s="119" t="str">
        <f>Opolski!E9</f>
        <v>-</v>
      </c>
      <c r="M8" s="119" t="str">
        <f>Podkarpacki!E9</f>
        <v>-</v>
      </c>
      <c r="N8" s="119" t="str">
        <f>Podlaski!E9</f>
        <v>-</v>
      </c>
      <c r="O8" s="119" t="str">
        <f>Pomorski!E9</f>
        <v>-</v>
      </c>
      <c r="P8" s="119" t="str">
        <f>Śląski!E9</f>
        <v>-</v>
      </c>
      <c r="Q8" s="119" t="str">
        <f>Świętokrzyski!E9</f>
        <v>-</v>
      </c>
      <c r="R8" s="119" t="str">
        <f>WarmińskoMazurski!E9</f>
        <v>-</v>
      </c>
      <c r="S8" s="119" t="str">
        <f>Wielkopolski!E9</f>
        <v>-</v>
      </c>
      <c r="T8" s="119" t="str">
        <f>Zachodniopomorski!E9</f>
        <v>-</v>
      </c>
    </row>
    <row r="9" spans="1:20" ht="30" customHeight="1">
      <c r="A9" s="29" t="s">
        <v>3</v>
      </c>
      <c r="B9" s="35" t="s">
        <v>131</v>
      </c>
      <c r="C9" s="119" t="str">
        <f>CENTRALA!E10</f>
        <v>-</v>
      </c>
      <c r="D9" s="118">
        <f t="shared" si="0"/>
        <v>51542</v>
      </c>
      <c r="E9" s="119" t="str">
        <f>Dolnośląski!E10</f>
        <v>-</v>
      </c>
      <c r="F9" s="119">
        <f>KujawskoPomorski!E10</f>
        <v>3612</v>
      </c>
      <c r="G9" s="119">
        <f>Lubelski!E10</f>
        <v>3806</v>
      </c>
      <c r="H9" s="119">
        <f>Lubuski!E10</f>
        <v>1737</v>
      </c>
      <c r="I9" s="119">
        <f>Łódzki!E10</f>
        <v>2060</v>
      </c>
      <c r="J9" s="119">
        <f>Małopolski!E10</f>
        <v>5634</v>
      </c>
      <c r="K9" s="119">
        <f>Mazowiecki!E10</f>
        <v>9478</v>
      </c>
      <c r="L9" s="119">
        <f>Opolski!E10</f>
        <v>1000</v>
      </c>
      <c r="M9" s="119" t="str">
        <f>Podkarpacki!E10</f>
        <v>-</v>
      </c>
      <c r="N9" s="119">
        <f>Podlaski!E10</f>
        <v>1650</v>
      </c>
      <c r="O9" s="119">
        <f>Pomorski!E10</f>
        <v>3786</v>
      </c>
      <c r="P9" s="119">
        <f>Śląski!E10</f>
        <v>6308</v>
      </c>
      <c r="Q9" s="119">
        <f>Świętokrzyski!E10</f>
        <v>2276</v>
      </c>
      <c r="R9" s="119">
        <f>WarmińskoMazurski!E10</f>
        <v>2365</v>
      </c>
      <c r="S9" s="119">
        <f>Wielkopolski!E10</f>
        <v>5926</v>
      </c>
      <c r="T9" s="119">
        <f>Zachodniopomorski!E10</f>
        <v>1904</v>
      </c>
    </row>
    <row r="10" spans="1:20" ht="27" customHeight="1">
      <c r="A10" s="28" t="s">
        <v>57</v>
      </c>
      <c r="B10" s="34" t="s">
        <v>160</v>
      </c>
      <c r="C10" s="119" t="str">
        <f>CENTRALA!E11</f>
        <v>-</v>
      </c>
      <c r="D10" s="118">
        <f t="shared" si="0"/>
        <v>0</v>
      </c>
      <c r="E10" s="119" t="str">
        <f>Dolnośląski!E11</f>
        <v>-</v>
      </c>
      <c r="F10" s="119" t="str">
        <f>KujawskoPomorski!E11</f>
        <v>-</v>
      </c>
      <c r="G10" s="119" t="str">
        <f>Lubelski!E11</f>
        <v>-</v>
      </c>
      <c r="H10" s="119" t="str">
        <f>Lubuski!E11</f>
        <v>-</v>
      </c>
      <c r="I10" s="119" t="str">
        <f>Łódzki!E11</f>
        <v>-</v>
      </c>
      <c r="J10" s="119" t="str">
        <f>Małopolski!E11</f>
        <v>-</v>
      </c>
      <c r="K10" s="119" t="str">
        <f>Mazowiecki!E11</f>
        <v>-</v>
      </c>
      <c r="L10" s="119" t="str">
        <f>Opolski!E11</f>
        <v>-</v>
      </c>
      <c r="M10" s="119" t="str">
        <f>Podkarpacki!E11</f>
        <v>-</v>
      </c>
      <c r="N10" s="119" t="str">
        <f>Podlaski!E11</f>
        <v>-</v>
      </c>
      <c r="O10" s="119" t="str">
        <f>Pomorski!E11</f>
        <v>-</v>
      </c>
      <c r="P10" s="119" t="str">
        <f>Śląski!E11</f>
        <v>-</v>
      </c>
      <c r="Q10" s="119" t="str">
        <f>Świętokrzyski!E11</f>
        <v>-</v>
      </c>
      <c r="R10" s="119" t="str">
        <f>WarmińskoMazurski!E11</f>
        <v>-</v>
      </c>
      <c r="S10" s="119" t="str">
        <f>Wielkopolski!E11</f>
        <v>-</v>
      </c>
      <c r="T10" s="119" t="str">
        <f>Zachodniopomorski!E11</f>
        <v>-</v>
      </c>
    </row>
    <row r="11" spans="1:20" ht="27" customHeight="1">
      <c r="A11" s="28" t="s">
        <v>161</v>
      </c>
      <c r="B11" s="34" t="s">
        <v>164</v>
      </c>
      <c r="C11" s="119" t="str">
        <f>CENTRALA!E12</f>
        <v>-</v>
      </c>
      <c r="D11" s="118">
        <f t="shared" si="0"/>
        <v>0</v>
      </c>
      <c r="E11" s="119" t="str">
        <f>Dolnośląski!E12</f>
        <v>-</v>
      </c>
      <c r="F11" s="119" t="str">
        <f>KujawskoPomorski!E12</f>
        <v>-</v>
      </c>
      <c r="G11" s="119" t="str">
        <f>Lubelski!E12</f>
        <v>-</v>
      </c>
      <c r="H11" s="119" t="str">
        <f>Lubuski!E12</f>
        <v>-</v>
      </c>
      <c r="I11" s="119" t="str">
        <f>Łódzki!E12</f>
        <v>-</v>
      </c>
      <c r="J11" s="119" t="str">
        <f>Małopolski!E12</f>
        <v>-</v>
      </c>
      <c r="K11" s="119" t="str">
        <f>Mazowiecki!E12</f>
        <v>-</v>
      </c>
      <c r="L11" s="119" t="str">
        <f>Opolski!E12</f>
        <v>-</v>
      </c>
      <c r="M11" s="119" t="str">
        <f>Podkarpacki!E12</f>
        <v>-</v>
      </c>
      <c r="N11" s="119" t="str">
        <f>Podlaski!E12</f>
        <v>-</v>
      </c>
      <c r="O11" s="119" t="str">
        <f>Pomorski!E12</f>
        <v>-</v>
      </c>
      <c r="P11" s="119" t="str">
        <f>Śląski!E12</f>
        <v>-</v>
      </c>
      <c r="Q11" s="119" t="str">
        <f>Świętokrzyski!E12</f>
        <v>-</v>
      </c>
      <c r="R11" s="119" t="str">
        <f>WarmińskoMazurski!E12</f>
        <v>-</v>
      </c>
      <c r="S11" s="119" t="str">
        <f>Wielkopolski!E12</f>
        <v>-</v>
      </c>
      <c r="T11" s="119" t="str">
        <f>Zachodniopomorski!E12</f>
        <v>-</v>
      </c>
    </row>
    <row r="12" spans="1:20" ht="27" customHeight="1">
      <c r="A12" s="28" t="s">
        <v>162</v>
      </c>
      <c r="B12" s="34" t="s">
        <v>165</v>
      </c>
      <c r="C12" s="119" t="str">
        <f>CENTRALA!E13</f>
        <v>-</v>
      </c>
      <c r="D12" s="118">
        <f t="shared" si="0"/>
        <v>0</v>
      </c>
      <c r="E12" s="119" t="str">
        <f>Dolnośląski!E13</f>
        <v>-</v>
      </c>
      <c r="F12" s="119" t="str">
        <f>KujawskoPomorski!E13</f>
        <v>-</v>
      </c>
      <c r="G12" s="119" t="str">
        <f>Lubelski!E13</f>
        <v>-</v>
      </c>
      <c r="H12" s="119" t="str">
        <f>Lubuski!E13</f>
        <v>-</v>
      </c>
      <c r="I12" s="119" t="str">
        <f>Łódzki!E13</f>
        <v>-</v>
      </c>
      <c r="J12" s="119" t="str">
        <f>Małopolski!E13</f>
        <v>-</v>
      </c>
      <c r="K12" s="119" t="str">
        <f>Mazowiecki!E13</f>
        <v>-</v>
      </c>
      <c r="L12" s="119" t="str">
        <f>Opolski!E13</f>
        <v>-</v>
      </c>
      <c r="M12" s="119" t="str">
        <f>Podkarpacki!E13</f>
        <v>-</v>
      </c>
      <c r="N12" s="119" t="str">
        <f>Podlaski!E13</f>
        <v>-</v>
      </c>
      <c r="O12" s="119" t="str">
        <f>Pomorski!E13</f>
        <v>-</v>
      </c>
      <c r="P12" s="119" t="str">
        <f>Śląski!E13</f>
        <v>-</v>
      </c>
      <c r="Q12" s="119" t="str">
        <f>Świętokrzyski!E13</f>
        <v>-</v>
      </c>
      <c r="R12" s="119" t="str">
        <f>WarmińskoMazurski!E13</f>
        <v>-</v>
      </c>
      <c r="S12" s="119" t="str">
        <f>Wielkopolski!E13</f>
        <v>-</v>
      </c>
      <c r="T12" s="119" t="str">
        <f>Zachodniopomorski!E13</f>
        <v>-</v>
      </c>
    </row>
    <row r="13" spans="1:20" ht="27" customHeight="1">
      <c r="A13" s="28" t="s">
        <v>163</v>
      </c>
      <c r="B13" s="34" t="s">
        <v>166</v>
      </c>
      <c r="C13" s="119" t="str">
        <f>CENTRALA!E14</f>
        <v>-</v>
      </c>
      <c r="D13" s="118">
        <f t="shared" si="0"/>
        <v>0</v>
      </c>
      <c r="E13" s="119" t="str">
        <f>Dolnośląski!E14</f>
        <v>-</v>
      </c>
      <c r="F13" s="119" t="str">
        <f>KujawskoPomorski!E14</f>
        <v>-</v>
      </c>
      <c r="G13" s="119" t="str">
        <f>Lubelski!E14</f>
        <v>-</v>
      </c>
      <c r="H13" s="119" t="str">
        <f>Lubuski!E14</f>
        <v>-</v>
      </c>
      <c r="I13" s="119" t="str">
        <f>Łódzki!E14</f>
        <v>-</v>
      </c>
      <c r="J13" s="119" t="str">
        <f>Małopolski!E14</f>
        <v>-</v>
      </c>
      <c r="K13" s="119" t="str">
        <f>Mazowiecki!E14</f>
        <v>-</v>
      </c>
      <c r="L13" s="119" t="str">
        <f>Opolski!E14</f>
        <v>-</v>
      </c>
      <c r="M13" s="119" t="str">
        <f>Podkarpacki!E14</f>
        <v>-</v>
      </c>
      <c r="N13" s="119" t="str">
        <f>Podlaski!E14</f>
        <v>-</v>
      </c>
      <c r="O13" s="119" t="str">
        <f>Pomorski!E14</f>
        <v>-</v>
      </c>
      <c r="P13" s="119" t="str">
        <f>Śląski!E14</f>
        <v>-</v>
      </c>
      <c r="Q13" s="119" t="str">
        <f>Świętokrzyski!E14</f>
        <v>-</v>
      </c>
      <c r="R13" s="119" t="str">
        <f>WarmińskoMazurski!E14</f>
        <v>-</v>
      </c>
      <c r="S13" s="119" t="str">
        <f>Wielkopolski!E14</f>
        <v>-</v>
      </c>
      <c r="T13" s="119" t="str">
        <f>Zachodniopomorski!E14</f>
        <v>-</v>
      </c>
    </row>
    <row r="14" spans="1:20" ht="30" customHeight="1">
      <c r="A14" s="29" t="s">
        <v>4</v>
      </c>
      <c r="B14" s="35" t="s">
        <v>139</v>
      </c>
      <c r="C14" s="119" t="str">
        <f>CENTRALA!E15</f>
        <v>-</v>
      </c>
      <c r="D14" s="118">
        <f t="shared" si="0"/>
        <v>1647</v>
      </c>
      <c r="E14" s="119" t="str">
        <f>Dolnośląski!E15</f>
        <v>-</v>
      </c>
      <c r="F14" s="119" t="str">
        <f>KujawskoPomorski!E15</f>
        <v>-</v>
      </c>
      <c r="G14" s="119" t="str">
        <f>Lubelski!E15</f>
        <v>-</v>
      </c>
      <c r="H14" s="119" t="str">
        <f>Lubuski!E15</f>
        <v>-</v>
      </c>
      <c r="I14" s="119" t="str">
        <f>Łódzki!E15</f>
        <v>-</v>
      </c>
      <c r="J14" s="119" t="str">
        <f>Małopolski!E15</f>
        <v>-</v>
      </c>
      <c r="K14" s="119" t="str">
        <f>Mazowiecki!E15</f>
        <v>-</v>
      </c>
      <c r="L14" s="119">
        <f>Opolski!E15</f>
        <v>647</v>
      </c>
      <c r="M14" s="119" t="str">
        <f>Podkarpacki!E15</f>
        <v>-</v>
      </c>
      <c r="N14" s="119" t="str">
        <f>Podlaski!E15</f>
        <v>-</v>
      </c>
      <c r="O14" s="119" t="str">
        <f>Pomorski!E15</f>
        <v>-</v>
      </c>
      <c r="P14" s="119" t="str">
        <f>Śląski!E15</f>
        <v>-</v>
      </c>
      <c r="Q14" s="119" t="str">
        <f>Świętokrzyski!E15</f>
        <v>-</v>
      </c>
      <c r="R14" s="119" t="str">
        <f>WarmińskoMazurski!E15</f>
        <v>-</v>
      </c>
      <c r="S14" s="119" t="str">
        <f>Wielkopolski!E15</f>
        <v>-</v>
      </c>
      <c r="T14" s="119">
        <f>Zachodniopomorski!E15</f>
        <v>1000</v>
      </c>
    </row>
    <row r="15" spans="1:20" ht="30" customHeight="1">
      <c r="A15" s="29" t="s">
        <v>5</v>
      </c>
      <c r="B15" s="35" t="s">
        <v>135</v>
      </c>
      <c r="C15" s="119" t="str">
        <f>CENTRALA!E16</f>
        <v>-</v>
      </c>
      <c r="D15" s="118">
        <f t="shared" si="0"/>
        <v>0</v>
      </c>
      <c r="E15" s="119" t="str">
        <f>Dolnośląski!E16</f>
        <v>-</v>
      </c>
      <c r="F15" s="119" t="str">
        <f>KujawskoPomorski!E16</f>
        <v>-</v>
      </c>
      <c r="G15" s="119" t="str">
        <f>Lubelski!E16</f>
        <v>-</v>
      </c>
      <c r="H15" s="119" t="str">
        <f>Lubuski!E16</f>
        <v>-</v>
      </c>
      <c r="I15" s="119" t="str">
        <f>Łódzki!E16</f>
        <v>-</v>
      </c>
      <c r="J15" s="119" t="str">
        <f>Małopolski!E16</f>
        <v>-</v>
      </c>
      <c r="K15" s="119" t="str">
        <f>Mazowiecki!E16</f>
        <v>-</v>
      </c>
      <c r="L15" s="119" t="str">
        <f>Opolski!E16</f>
        <v>-</v>
      </c>
      <c r="M15" s="119" t="str">
        <f>Podkarpacki!E16</f>
        <v>-</v>
      </c>
      <c r="N15" s="119" t="str">
        <f>Podlaski!E16</f>
        <v>-</v>
      </c>
      <c r="O15" s="119" t="str">
        <f>Pomorski!E16</f>
        <v>-</v>
      </c>
      <c r="P15" s="119" t="str">
        <f>Śląski!E16</f>
        <v>-</v>
      </c>
      <c r="Q15" s="119" t="str">
        <f>Świętokrzyski!E16</f>
        <v>-</v>
      </c>
      <c r="R15" s="119" t="str">
        <f>WarmińskoMazurski!E16</f>
        <v>-</v>
      </c>
      <c r="S15" s="119" t="str">
        <f>Wielkopolski!E16</f>
        <v>-</v>
      </c>
      <c r="T15" s="119" t="str">
        <f>Zachodniopomorski!E16</f>
        <v>-</v>
      </c>
    </row>
    <row r="16" spans="1:20" ht="30" customHeight="1">
      <c r="A16" s="29" t="s">
        <v>6</v>
      </c>
      <c r="B16" s="35" t="s">
        <v>141</v>
      </c>
      <c r="C16" s="119" t="str">
        <f>CENTRALA!E17</f>
        <v>-</v>
      </c>
      <c r="D16" s="118">
        <f t="shared" si="0"/>
        <v>1807</v>
      </c>
      <c r="E16" s="119">
        <f>Dolnośląski!E17</f>
        <v>1807</v>
      </c>
      <c r="F16" s="119" t="str">
        <f>KujawskoPomorski!E17</f>
        <v>-</v>
      </c>
      <c r="G16" s="119" t="str">
        <f>Lubelski!E17</f>
        <v>-</v>
      </c>
      <c r="H16" s="119" t="str">
        <f>Lubuski!E17</f>
        <v>-</v>
      </c>
      <c r="I16" s="119" t="str">
        <f>Łódzki!E17</f>
        <v>-</v>
      </c>
      <c r="J16" s="119" t="str">
        <f>Małopolski!E17</f>
        <v>-</v>
      </c>
      <c r="K16" s="119" t="str">
        <f>Mazowiecki!E17</f>
        <v>-</v>
      </c>
      <c r="L16" s="119" t="str">
        <f>Opolski!E17</f>
        <v>-</v>
      </c>
      <c r="M16" s="119" t="str">
        <f>Podkarpacki!E17</f>
        <v>-</v>
      </c>
      <c r="N16" s="119" t="str">
        <f>Podlaski!E17</f>
        <v>-</v>
      </c>
      <c r="O16" s="119" t="str">
        <f>Pomorski!E17</f>
        <v>-</v>
      </c>
      <c r="P16" s="119" t="str">
        <f>Śląski!E17</f>
        <v>-</v>
      </c>
      <c r="Q16" s="119" t="str">
        <f>Świętokrzyski!E17</f>
        <v>-</v>
      </c>
      <c r="R16" s="119" t="str">
        <f>WarmińskoMazurski!E17</f>
        <v>-</v>
      </c>
      <c r="S16" s="119" t="str">
        <f>Wielkopolski!E17</f>
        <v>-</v>
      </c>
      <c r="T16" s="119" t="str">
        <f>Zachodniopomorski!E17</f>
        <v>-</v>
      </c>
    </row>
    <row r="17" spans="1:20" ht="30" customHeight="1">
      <c r="A17" s="29" t="s">
        <v>7</v>
      </c>
      <c r="B17" s="35" t="s">
        <v>140</v>
      </c>
      <c r="C17" s="119" t="str">
        <f>CENTRALA!E18</f>
        <v>-</v>
      </c>
      <c r="D17" s="118">
        <f t="shared" si="0"/>
        <v>7432</v>
      </c>
      <c r="E17" s="119">
        <f>Dolnośląski!E18</f>
        <v>3200</v>
      </c>
      <c r="F17" s="119" t="str">
        <f>KujawskoPomorski!E18</f>
        <v>-</v>
      </c>
      <c r="G17" s="119" t="str">
        <f>Lubelski!E18</f>
        <v>-</v>
      </c>
      <c r="H17" s="119" t="str">
        <f>Lubuski!E18</f>
        <v>-</v>
      </c>
      <c r="I17" s="119" t="str">
        <f>Łódzki!E18</f>
        <v>-</v>
      </c>
      <c r="J17" s="119" t="str">
        <f>Małopolski!E18</f>
        <v>-</v>
      </c>
      <c r="K17" s="119" t="str">
        <f>Mazowiecki!E18</f>
        <v>-</v>
      </c>
      <c r="L17" s="119" t="str">
        <f>Opolski!E18</f>
        <v>-</v>
      </c>
      <c r="M17" s="119">
        <f>Podkarpacki!E18</f>
        <v>2000</v>
      </c>
      <c r="N17" s="119">
        <f>Podlaski!E18</f>
        <v>382</v>
      </c>
      <c r="O17" s="119" t="str">
        <f>Pomorski!E18</f>
        <v>-</v>
      </c>
      <c r="P17" s="119">
        <f>Śląski!E18</f>
        <v>1850</v>
      </c>
      <c r="Q17" s="119" t="str">
        <f>Świętokrzyski!E18</f>
        <v>-</v>
      </c>
      <c r="R17" s="119" t="str">
        <f>WarmińskoMazurski!E18</f>
        <v>-</v>
      </c>
      <c r="S17" s="119" t="str">
        <f>Wielkopolski!E18</f>
        <v>-</v>
      </c>
      <c r="T17" s="119" t="str">
        <f>Zachodniopomorski!E18</f>
        <v>-</v>
      </c>
    </row>
    <row r="18" spans="1:20" ht="30" customHeight="1">
      <c r="A18" s="29" t="s">
        <v>8</v>
      </c>
      <c r="B18" s="35" t="s">
        <v>136</v>
      </c>
      <c r="C18" s="119" t="str">
        <f>CENTRALA!E19</f>
        <v>-</v>
      </c>
      <c r="D18" s="118">
        <f t="shared" si="0"/>
        <v>0</v>
      </c>
      <c r="E18" s="119" t="str">
        <f>Dolnośląski!E19</f>
        <v>-</v>
      </c>
      <c r="F18" s="119" t="str">
        <f>KujawskoPomorski!E19</f>
        <v>-</v>
      </c>
      <c r="G18" s="119" t="str">
        <f>Lubelski!E19</f>
        <v>-</v>
      </c>
      <c r="H18" s="119" t="str">
        <f>Lubuski!E19</f>
        <v>-</v>
      </c>
      <c r="I18" s="119" t="str">
        <f>Łódzki!E19</f>
        <v>-</v>
      </c>
      <c r="J18" s="119" t="str">
        <f>Małopolski!E19</f>
        <v>-</v>
      </c>
      <c r="K18" s="119" t="str">
        <f>Mazowiecki!E19</f>
        <v>-</v>
      </c>
      <c r="L18" s="119" t="str">
        <f>Opolski!E19</f>
        <v>-</v>
      </c>
      <c r="M18" s="119" t="str">
        <f>Podkarpacki!E19</f>
        <v>-</v>
      </c>
      <c r="N18" s="119" t="str">
        <f>Podlaski!E19</f>
        <v>-</v>
      </c>
      <c r="O18" s="119" t="str">
        <f>Pomorski!E19</f>
        <v>-</v>
      </c>
      <c r="P18" s="119" t="str">
        <f>Śląski!E19</f>
        <v>-</v>
      </c>
      <c r="Q18" s="119" t="str">
        <f>Świętokrzyski!E19</f>
        <v>-</v>
      </c>
      <c r="R18" s="119" t="str">
        <f>WarmińskoMazurski!E19</f>
        <v>-</v>
      </c>
      <c r="S18" s="119" t="str">
        <f>Wielkopolski!E19</f>
        <v>-</v>
      </c>
      <c r="T18" s="119" t="str">
        <f>Zachodniopomorski!E19</f>
        <v>-</v>
      </c>
    </row>
    <row r="19" spans="1:20" ht="30" customHeight="1">
      <c r="A19" s="29" t="s">
        <v>9</v>
      </c>
      <c r="B19" s="35" t="s">
        <v>137</v>
      </c>
      <c r="C19" s="119" t="str">
        <f>CENTRALA!E20</f>
        <v>-</v>
      </c>
      <c r="D19" s="118">
        <f t="shared" si="0"/>
        <v>0</v>
      </c>
      <c r="E19" s="119" t="str">
        <f>Dolnośląski!E20</f>
        <v>-</v>
      </c>
      <c r="F19" s="119" t="str">
        <f>KujawskoPomorski!E20</f>
        <v>-</v>
      </c>
      <c r="G19" s="119" t="str">
        <f>Lubelski!E20</f>
        <v>-</v>
      </c>
      <c r="H19" s="119" t="str">
        <f>Lubuski!E20</f>
        <v>-</v>
      </c>
      <c r="I19" s="119" t="str">
        <f>Łódzki!E20</f>
        <v>-</v>
      </c>
      <c r="J19" s="119" t="str">
        <f>Małopolski!E20</f>
        <v>-</v>
      </c>
      <c r="K19" s="119" t="str">
        <f>Mazowiecki!E20</f>
        <v>-</v>
      </c>
      <c r="L19" s="119" t="str">
        <f>Opolski!E20</f>
        <v>-</v>
      </c>
      <c r="M19" s="119" t="str">
        <f>Podkarpacki!E20</f>
        <v>-</v>
      </c>
      <c r="N19" s="119" t="str">
        <f>Podlaski!E20</f>
        <v>-</v>
      </c>
      <c r="O19" s="119" t="str">
        <f>Pomorski!E20</f>
        <v>-</v>
      </c>
      <c r="P19" s="119" t="str">
        <f>Śląski!E20</f>
        <v>-</v>
      </c>
      <c r="Q19" s="119" t="str">
        <f>Świętokrzyski!E20</f>
        <v>-</v>
      </c>
      <c r="R19" s="119" t="str">
        <f>WarmińskoMazurski!E20</f>
        <v>-</v>
      </c>
      <c r="S19" s="119" t="str">
        <f>Wielkopolski!E20</f>
        <v>-</v>
      </c>
      <c r="T19" s="119" t="str">
        <f>Zachodniopomorski!E20</f>
        <v>-</v>
      </c>
    </row>
    <row r="20" spans="1:20" ht="30" customHeight="1">
      <c r="A20" s="29" t="s">
        <v>10</v>
      </c>
      <c r="B20" s="35" t="s">
        <v>142</v>
      </c>
      <c r="C20" s="119" t="str">
        <f>CENTRALA!E21</f>
        <v>-</v>
      </c>
      <c r="D20" s="118">
        <f t="shared" si="0"/>
        <v>0</v>
      </c>
      <c r="E20" s="119" t="str">
        <f>Dolnośląski!E21</f>
        <v>-</v>
      </c>
      <c r="F20" s="119" t="str">
        <f>KujawskoPomorski!E21</f>
        <v>-</v>
      </c>
      <c r="G20" s="119" t="str">
        <f>Lubelski!E21</f>
        <v>-</v>
      </c>
      <c r="H20" s="119" t="str">
        <f>Lubuski!E21</f>
        <v>-</v>
      </c>
      <c r="I20" s="119" t="str">
        <f>Łódzki!E21</f>
        <v>-</v>
      </c>
      <c r="J20" s="119" t="str">
        <f>Małopolski!E21</f>
        <v>-</v>
      </c>
      <c r="K20" s="119" t="str">
        <f>Mazowiecki!E21</f>
        <v>-</v>
      </c>
      <c r="L20" s="119" t="str">
        <f>Opolski!E21</f>
        <v>-</v>
      </c>
      <c r="M20" s="119" t="str">
        <f>Podkarpacki!E21</f>
        <v>-</v>
      </c>
      <c r="N20" s="119" t="str">
        <f>Podlaski!E21</f>
        <v>-</v>
      </c>
      <c r="O20" s="119" t="str">
        <f>Pomorski!E21</f>
        <v>-</v>
      </c>
      <c r="P20" s="119" t="str">
        <f>Śląski!E21</f>
        <v>-</v>
      </c>
      <c r="Q20" s="119" t="str">
        <f>Świętokrzyski!E21</f>
        <v>-</v>
      </c>
      <c r="R20" s="119" t="str">
        <f>WarmińskoMazurski!E21</f>
        <v>-</v>
      </c>
      <c r="S20" s="119" t="str">
        <f>Wielkopolski!E21</f>
        <v>-</v>
      </c>
      <c r="T20" s="119" t="str">
        <f>Zachodniopomorski!E21</f>
        <v>-</v>
      </c>
    </row>
    <row r="21" spans="1:20" ht="38.25" customHeight="1">
      <c r="A21" s="29" t="s">
        <v>11</v>
      </c>
      <c r="B21" s="35" t="s">
        <v>138</v>
      </c>
      <c r="C21" s="119" t="str">
        <f>CENTRALA!E22</f>
        <v>-</v>
      </c>
      <c r="D21" s="118">
        <f t="shared" si="0"/>
        <v>0</v>
      </c>
      <c r="E21" s="119" t="str">
        <f>Dolnośląski!E22</f>
        <v>-</v>
      </c>
      <c r="F21" s="119" t="str">
        <f>KujawskoPomorski!E22</f>
        <v>-</v>
      </c>
      <c r="G21" s="119" t="str">
        <f>Lubelski!E22</f>
        <v>-</v>
      </c>
      <c r="H21" s="119" t="str">
        <f>Lubuski!E22</f>
        <v>-</v>
      </c>
      <c r="I21" s="119" t="str">
        <f>Łódzki!E22</f>
        <v>-</v>
      </c>
      <c r="J21" s="119" t="str">
        <f>Małopolski!E22</f>
        <v>-</v>
      </c>
      <c r="K21" s="119" t="str">
        <f>Mazowiecki!E22</f>
        <v>-</v>
      </c>
      <c r="L21" s="119" t="str">
        <f>Opolski!E22</f>
        <v>-</v>
      </c>
      <c r="M21" s="119" t="str">
        <f>Podkarpacki!E22</f>
        <v>-</v>
      </c>
      <c r="N21" s="119" t="str">
        <f>Podlaski!E22</f>
        <v>-</v>
      </c>
      <c r="O21" s="119" t="str">
        <f>Pomorski!E22</f>
        <v>-</v>
      </c>
      <c r="P21" s="119" t="str">
        <f>Śląski!E22</f>
        <v>-</v>
      </c>
      <c r="Q21" s="119" t="str">
        <f>Świętokrzyski!E22</f>
        <v>-</v>
      </c>
      <c r="R21" s="119" t="str">
        <f>WarmińskoMazurski!E22</f>
        <v>-</v>
      </c>
      <c r="S21" s="119" t="str">
        <f>Wielkopolski!E22</f>
        <v>-</v>
      </c>
      <c r="T21" s="119" t="str">
        <f>Zachodniopomorski!E22</f>
        <v>-</v>
      </c>
    </row>
    <row r="22" spans="1:20" ht="30" customHeight="1">
      <c r="A22" s="29" t="s">
        <v>12</v>
      </c>
      <c r="B22" s="35" t="s">
        <v>185</v>
      </c>
      <c r="C22" s="119" t="str">
        <f>CENTRALA!E23</f>
        <v>-</v>
      </c>
      <c r="D22" s="118">
        <f t="shared" si="0"/>
        <v>2517</v>
      </c>
      <c r="E22" s="119" t="str">
        <f>Dolnośląski!E23</f>
        <v>-</v>
      </c>
      <c r="F22" s="119" t="str">
        <f>KujawskoPomorski!E23</f>
        <v>-</v>
      </c>
      <c r="G22" s="119" t="str">
        <f>Lubelski!E23</f>
        <v>-</v>
      </c>
      <c r="H22" s="119" t="str">
        <f>Lubuski!E23</f>
        <v>-</v>
      </c>
      <c r="I22" s="119">
        <f>Łódzki!E23</f>
        <v>2517</v>
      </c>
      <c r="J22" s="119" t="str">
        <f>Małopolski!E23</f>
        <v>-</v>
      </c>
      <c r="K22" s="119" t="str">
        <f>Mazowiecki!E23</f>
        <v>-</v>
      </c>
      <c r="L22" s="119" t="str">
        <f>Opolski!E23</f>
        <v>-</v>
      </c>
      <c r="M22" s="119" t="str">
        <f>Podkarpacki!E23</f>
        <v>-</v>
      </c>
      <c r="N22" s="119" t="str">
        <f>Podlaski!E23</f>
        <v>-</v>
      </c>
      <c r="O22" s="119" t="str">
        <f>Pomorski!E23</f>
        <v>-</v>
      </c>
      <c r="P22" s="119" t="str">
        <f>Śląski!E23</f>
        <v>-</v>
      </c>
      <c r="Q22" s="119" t="str">
        <f>Świętokrzyski!E23</f>
        <v>-</v>
      </c>
      <c r="R22" s="119" t="str">
        <f>WarmińskoMazurski!E23</f>
        <v>-</v>
      </c>
      <c r="S22" s="119" t="str">
        <f>Wielkopolski!E23</f>
        <v>-</v>
      </c>
      <c r="T22" s="119" t="str">
        <f>Zachodniopomorski!E23</f>
        <v>-</v>
      </c>
    </row>
    <row r="23" spans="1:20" ht="38.25" customHeight="1">
      <c r="A23" s="29" t="s">
        <v>13</v>
      </c>
      <c r="B23" s="35" t="s">
        <v>167</v>
      </c>
      <c r="C23" s="119" t="str">
        <f>CENTRALA!E24</f>
        <v>-</v>
      </c>
      <c r="D23" s="118">
        <f t="shared" si="0"/>
        <v>0</v>
      </c>
      <c r="E23" s="119" t="str">
        <f>Dolnośląski!E24</f>
        <v>-</v>
      </c>
      <c r="F23" s="119" t="str">
        <f>KujawskoPomorski!E24</f>
        <v>-</v>
      </c>
      <c r="G23" s="119" t="str">
        <f>Lubelski!E24</f>
        <v>-</v>
      </c>
      <c r="H23" s="119" t="str">
        <f>Lubuski!E24</f>
        <v>-</v>
      </c>
      <c r="I23" s="119" t="str">
        <f>Łódzki!E24</f>
        <v>-</v>
      </c>
      <c r="J23" s="119" t="str">
        <f>Małopolski!E24</f>
        <v>-</v>
      </c>
      <c r="K23" s="119" t="str">
        <f>Mazowiecki!E24</f>
        <v>-</v>
      </c>
      <c r="L23" s="119" t="str">
        <f>Opolski!E24</f>
        <v>-</v>
      </c>
      <c r="M23" s="119" t="str">
        <f>Podkarpacki!E24</f>
        <v>-</v>
      </c>
      <c r="N23" s="119" t="str">
        <f>Podlaski!E24</f>
        <v>-</v>
      </c>
      <c r="O23" s="119" t="str">
        <f>Pomorski!E24</f>
        <v>-</v>
      </c>
      <c r="P23" s="119" t="str">
        <f>Śląski!E24</f>
        <v>-</v>
      </c>
      <c r="Q23" s="119" t="str">
        <f>Świętokrzyski!E24</f>
        <v>-</v>
      </c>
      <c r="R23" s="119" t="str">
        <f>WarmińskoMazurski!E24</f>
        <v>-</v>
      </c>
      <c r="S23" s="119" t="str">
        <f>Wielkopolski!E24</f>
        <v>-</v>
      </c>
      <c r="T23" s="119" t="str">
        <f>Zachodniopomorski!E24</f>
        <v>-</v>
      </c>
    </row>
    <row r="24" spans="1:20" ht="30" customHeight="1">
      <c r="A24" s="30" t="s">
        <v>14</v>
      </c>
      <c r="B24" s="78" t="s">
        <v>249</v>
      </c>
      <c r="C24" s="119" t="str">
        <f>CENTRALA!E25</f>
        <v>-</v>
      </c>
      <c r="D24" s="118">
        <f t="shared" si="0"/>
        <v>0</v>
      </c>
      <c r="E24" s="119" t="str">
        <f>Dolnośląski!E25</f>
        <v>-</v>
      </c>
      <c r="F24" s="119" t="str">
        <f>KujawskoPomorski!E25</f>
        <v>-</v>
      </c>
      <c r="G24" s="119" t="str">
        <f>Lubelski!E25</f>
        <v>-</v>
      </c>
      <c r="H24" s="119" t="str">
        <f>Lubuski!E25</f>
        <v>-</v>
      </c>
      <c r="I24" s="119" t="str">
        <f>Łódzki!E25</f>
        <v>-</v>
      </c>
      <c r="J24" s="119" t="str">
        <f>Małopolski!E25</f>
        <v>-</v>
      </c>
      <c r="K24" s="119" t="str">
        <f>Mazowiecki!E25</f>
        <v>-</v>
      </c>
      <c r="L24" s="119" t="str">
        <f>Opolski!E25</f>
        <v>-</v>
      </c>
      <c r="M24" s="119" t="str">
        <f>Podkarpacki!E25</f>
        <v>-</v>
      </c>
      <c r="N24" s="119" t="str">
        <f>Podlaski!E25</f>
        <v>-</v>
      </c>
      <c r="O24" s="119" t="str">
        <f>Pomorski!E25</f>
        <v>-</v>
      </c>
      <c r="P24" s="119" t="str">
        <f>Śląski!E25</f>
        <v>-</v>
      </c>
      <c r="Q24" s="119" t="str">
        <f>Świętokrzyski!E25</f>
        <v>-</v>
      </c>
      <c r="R24" s="119" t="str">
        <f>WarmińskoMazurski!E25</f>
        <v>-</v>
      </c>
      <c r="S24" s="119" t="str">
        <f>Wielkopolski!E25</f>
        <v>-</v>
      </c>
      <c r="T24" s="119" t="str">
        <f>Zachodniopomorski!E25</f>
        <v>-</v>
      </c>
    </row>
    <row r="25" spans="1:20" ht="38.25" customHeight="1">
      <c r="A25" s="28" t="s">
        <v>143</v>
      </c>
      <c r="B25" s="34" t="s">
        <v>170</v>
      </c>
      <c r="C25" s="119" t="str">
        <f>CENTRALA!E26</f>
        <v>-</v>
      </c>
      <c r="D25" s="118">
        <f t="shared" si="0"/>
        <v>0</v>
      </c>
      <c r="E25" s="119" t="str">
        <f>Dolnośląski!E26</f>
        <v>-</v>
      </c>
      <c r="F25" s="119" t="str">
        <f>KujawskoPomorski!E26</f>
        <v>-</v>
      </c>
      <c r="G25" s="119" t="str">
        <f>Lubelski!E26</f>
        <v>-</v>
      </c>
      <c r="H25" s="119" t="str">
        <f>Lubuski!E26</f>
        <v>-</v>
      </c>
      <c r="I25" s="119" t="str">
        <f>Łódzki!E26</f>
        <v>-</v>
      </c>
      <c r="J25" s="119" t="str">
        <f>Małopolski!E26</f>
        <v>-</v>
      </c>
      <c r="K25" s="119" t="str">
        <f>Mazowiecki!E26</f>
        <v>-</v>
      </c>
      <c r="L25" s="119" t="str">
        <f>Opolski!E26</f>
        <v>-</v>
      </c>
      <c r="M25" s="119" t="str">
        <f>Podkarpacki!E26</f>
        <v>-</v>
      </c>
      <c r="N25" s="119" t="str">
        <f>Podlaski!E26</f>
        <v>-</v>
      </c>
      <c r="O25" s="119" t="str">
        <f>Pomorski!E26</f>
        <v>-</v>
      </c>
      <c r="P25" s="119" t="str">
        <f>Śląski!E26</f>
        <v>-</v>
      </c>
      <c r="Q25" s="119" t="str">
        <f>Świętokrzyski!E26</f>
        <v>-</v>
      </c>
      <c r="R25" s="119" t="str">
        <f>WarmińskoMazurski!E26</f>
        <v>-</v>
      </c>
      <c r="S25" s="119" t="str">
        <f>Wielkopolski!E26</f>
        <v>-</v>
      </c>
      <c r="T25" s="119" t="str">
        <f>Zachodniopomorski!E26</f>
        <v>-</v>
      </c>
    </row>
    <row r="26" spans="1:20" ht="27" customHeight="1">
      <c r="A26" s="28" t="s">
        <v>169</v>
      </c>
      <c r="B26" s="34" t="s">
        <v>172</v>
      </c>
      <c r="C26" s="119" t="str">
        <f>CENTRALA!E27</f>
        <v>-</v>
      </c>
      <c r="D26" s="118">
        <f t="shared" si="0"/>
        <v>0</v>
      </c>
      <c r="E26" s="119" t="str">
        <f>Dolnośląski!E27</f>
        <v>-</v>
      </c>
      <c r="F26" s="119" t="str">
        <f>KujawskoPomorski!E27</f>
        <v>-</v>
      </c>
      <c r="G26" s="119" t="str">
        <f>Lubelski!E27</f>
        <v>-</v>
      </c>
      <c r="H26" s="119" t="str">
        <f>Lubuski!E27</f>
        <v>-</v>
      </c>
      <c r="I26" s="119" t="str">
        <f>Łódzki!E27</f>
        <v>-</v>
      </c>
      <c r="J26" s="119" t="str">
        <f>Małopolski!E27</f>
        <v>-</v>
      </c>
      <c r="K26" s="119" t="str">
        <f>Mazowiecki!E27</f>
        <v>-</v>
      </c>
      <c r="L26" s="119" t="str">
        <f>Opolski!E27</f>
        <v>-</v>
      </c>
      <c r="M26" s="119" t="str">
        <f>Podkarpacki!E27</f>
        <v>-</v>
      </c>
      <c r="N26" s="119" t="str">
        <f>Podlaski!E27</f>
        <v>-</v>
      </c>
      <c r="O26" s="119" t="str">
        <f>Pomorski!E27</f>
        <v>-</v>
      </c>
      <c r="P26" s="119" t="str">
        <f>Śląski!E27</f>
        <v>-</v>
      </c>
      <c r="Q26" s="119" t="str">
        <f>Świętokrzyski!E27</f>
        <v>-</v>
      </c>
      <c r="R26" s="119" t="str">
        <f>WarmińskoMazurski!E27</f>
        <v>-</v>
      </c>
      <c r="S26" s="119" t="str">
        <f>Wielkopolski!E27</f>
        <v>-</v>
      </c>
      <c r="T26" s="119" t="str">
        <f>Zachodniopomorski!E27</f>
        <v>-</v>
      </c>
    </row>
    <row r="27" spans="1:20" ht="38.25" customHeight="1">
      <c r="A27" s="28" t="s">
        <v>173</v>
      </c>
      <c r="B27" s="34" t="s">
        <v>171</v>
      </c>
      <c r="C27" s="119" t="str">
        <f>CENTRALA!E28</f>
        <v>-</v>
      </c>
      <c r="D27" s="118">
        <f t="shared" si="0"/>
        <v>0</v>
      </c>
      <c r="E27" s="119" t="str">
        <f>Dolnośląski!E28</f>
        <v>-</v>
      </c>
      <c r="F27" s="119" t="str">
        <f>KujawskoPomorski!E28</f>
        <v>-</v>
      </c>
      <c r="G27" s="119" t="str">
        <f>Lubelski!E28</f>
        <v>-</v>
      </c>
      <c r="H27" s="119" t="str">
        <f>Lubuski!E28</f>
        <v>-</v>
      </c>
      <c r="I27" s="119" t="str">
        <f>Łódzki!E28</f>
        <v>-</v>
      </c>
      <c r="J27" s="119" t="str">
        <f>Małopolski!E28</f>
        <v>-</v>
      </c>
      <c r="K27" s="119" t="str">
        <f>Mazowiecki!E28</f>
        <v>-</v>
      </c>
      <c r="L27" s="119" t="str">
        <f>Opolski!E28</f>
        <v>-</v>
      </c>
      <c r="M27" s="119" t="str">
        <f>Podkarpacki!E28</f>
        <v>-</v>
      </c>
      <c r="N27" s="119" t="str">
        <f>Podlaski!E28</f>
        <v>-</v>
      </c>
      <c r="O27" s="119" t="str">
        <f>Pomorski!E28</f>
        <v>-</v>
      </c>
      <c r="P27" s="119" t="str">
        <f>Śląski!E28</f>
        <v>-</v>
      </c>
      <c r="Q27" s="119" t="str">
        <f>Świętokrzyski!E28</f>
        <v>-</v>
      </c>
      <c r="R27" s="119" t="str">
        <f>WarmińskoMazurski!E28</f>
        <v>-</v>
      </c>
      <c r="S27" s="119" t="str">
        <f>Wielkopolski!E28</f>
        <v>-</v>
      </c>
      <c r="T27" s="119" t="str">
        <f>Zachodniopomorski!E28</f>
        <v>-</v>
      </c>
    </row>
    <row r="28" spans="1:20" ht="30" customHeight="1">
      <c r="A28" s="31" t="s">
        <v>15</v>
      </c>
      <c r="B28" s="36" t="s">
        <v>122</v>
      </c>
      <c r="C28" s="119" t="str">
        <f>CENTRALA!E29</f>
        <v>-</v>
      </c>
      <c r="D28" s="118">
        <f t="shared" si="0"/>
        <v>0</v>
      </c>
      <c r="E28" s="119" t="str">
        <f>Dolnośląski!E29</f>
        <v>-</v>
      </c>
      <c r="F28" s="119" t="str">
        <f>KujawskoPomorski!E29</f>
        <v>-</v>
      </c>
      <c r="G28" s="119" t="str">
        <f>Lubelski!E29</f>
        <v>-</v>
      </c>
      <c r="H28" s="119" t="str">
        <f>Lubuski!E29</f>
        <v>-</v>
      </c>
      <c r="I28" s="119" t="str">
        <f>Łódzki!E29</f>
        <v>-</v>
      </c>
      <c r="J28" s="119" t="str">
        <f>Małopolski!E29</f>
        <v>-</v>
      </c>
      <c r="K28" s="119" t="str">
        <f>Mazowiecki!E29</f>
        <v>-</v>
      </c>
      <c r="L28" s="119" t="str">
        <f>Opolski!E29</f>
        <v>-</v>
      </c>
      <c r="M28" s="119" t="str">
        <f>Podkarpacki!E29</f>
        <v>-</v>
      </c>
      <c r="N28" s="119" t="str">
        <f>Podlaski!E29</f>
        <v>-</v>
      </c>
      <c r="O28" s="119" t="str">
        <f>Pomorski!E29</f>
        <v>-</v>
      </c>
      <c r="P28" s="119" t="str">
        <f>Śląski!E29</f>
        <v>-</v>
      </c>
      <c r="Q28" s="119" t="str">
        <f>Świętokrzyski!E29</f>
        <v>-</v>
      </c>
      <c r="R28" s="119" t="str">
        <f>WarmińskoMazurski!E29</f>
        <v>-</v>
      </c>
      <c r="S28" s="119" t="str">
        <f>Wielkopolski!E29</f>
        <v>-</v>
      </c>
      <c r="T28" s="119" t="str">
        <f>Zachodniopomorski!E29</f>
        <v>-</v>
      </c>
    </row>
    <row r="29" spans="1:20" ht="38.25" customHeight="1">
      <c r="A29" s="31" t="s">
        <v>119</v>
      </c>
      <c r="B29" s="37" t="s">
        <v>174</v>
      </c>
      <c r="C29" s="119" t="str">
        <f>CENTRALA!E30</f>
        <v>-</v>
      </c>
      <c r="D29" s="118">
        <f t="shared" si="0"/>
        <v>0</v>
      </c>
      <c r="E29" s="119" t="str">
        <f>Dolnośląski!E30</f>
        <v>-</v>
      </c>
      <c r="F29" s="119" t="str">
        <f>KujawskoPomorski!E30</f>
        <v>-</v>
      </c>
      <c r="G29" s="119" t="str">
        <f>Lubelski!E30</f>
        <v>-</v>
      </c>
      <c r="H29" s="119" t="str">
        <f>Lubuski!E30</f>
        <v>-</v>
      </c>
      <c r="I29" s="119" t="str">
        <f>Łódzki!E30</f>
        <v>-</v>
      </c>
      <c r="J29" s="119" t="str">
        <f>Małopolski!E30</f>
        <v>-</v>
      </c>
      <c r="K29" s="119" t="str">
        <f>Mazowiecki!E30</f>
        <v>-</v>
      </c>
      <c r="L29" s="119" t="str">
        <f>Opolski!E30</f>
        <v>-</v>
      </c>
      <c r="M29" s="119" t="str">
        <f>Podkarpacki!E30</f>
        <v>-</v>
      </c>
      <c r="N29" s="119" t="str">
        <f>Podlaski!E30</f>
        <v>-</v>
      </c>
      <c r="O29" s="119" t="str">
        <f>Pomorski!E30</f>
        <v>-</v>
      </c>
      <c r="P29" s="119" t="str">
        <f>Śląski!E30</f>
        <v>-</v>
      </c>
      <c r="Q29" s="119" t="str">
        <f>Świętokrzyski!E30</f>
        <v>-</v>
      </c>
      <c r="R29" s="119" t="str">
        <f>WarmińskoMazurski!E30</f>
        <v>-</v>
      </c>
      <c r="S29" s="119" t="str">
        <f>Wielkopolski!E30</f>
        <v>-</v>
      </c>
      <c r="T29" s="119" t="str">
        <f>Zachodniopomorski!E30</f>
        <v>-</v>
      </c>
    </row>
    <row r="30" spans="1:20" ht="27" customHeight="1">
      <c r="A30" s="28" t="s">
        <v>175</v>
      </c>
      <c r="B30" s="34" t="s">
        <v>187</v>
      </c>
      <c r="C30" s="119" t="str">
        <f>CENTRALA!E31</f>
        <v>-</v>
      </c>
      <c r="D30" s="118">
        <f t="shared" si="0"/>
        <v>0</v>
      </c>
      <c r="E30" s="119" t="str">
        <f>Dolnośląski!E31</f>
        <v>-</v>
      </c>
      <c r="F30" s="119" t="str">
        <f>KujawskoPomorski!E31</f>
        <v>-</v>
      </c>
      <c r="G30" s="119" t="str">
        <f>Lubelski!E31</f>
        <v>-</v>
      </c>
      <c r="H30" s="119" t="str">
        <f>Lubuski!E31</f>
        <v>-</v>
      </c>
      <c r="I30" s="119" t="str">
        <f>Łódzki!E31</f>
        <v>-</v>
      </c>
      <c r="J30" s="119" t="str">
        <f>Małopolski!E31</f>
        <v>-</v>
      </c>
      <c r="K30" s="119" t="str">
        <f>Mazowiecki!E31</f>
        <v>-</v>
      </c>
      <c r="L30" s="119" t="str">
        <f>Opolski!E31</f>
        <v>-</v>
      </c>
      <c r="M30" s="119" t="str">
        <f>Podkarpacki!E31</f>
        <v>-</v>
      </c>
      <c r="N30" s="119" t="str">
        <f>Podlaski!E31</f>
        <v>-</v>
      </c>
      <c r="O30" s="119" t="str">
        <f>Pomorski!E31</f>
        <v>-</v>
      </c>
      <c r="P30" s="119" t="str">
        <f>Śląski!E31</f>
        <v>-</v>
      </c>
      <c r="Q30" s="119" t="str">
        <f>Świętokrzyski!E31</f>
        <v>-</v>
      </c>
      <c r="R30" s="119" t="str">
        <f>WarmińskoMazurski!E31</f>
        <v>-</v>
      </c>
      <c r="S30" s="119" t="str">
        <f>Wielkopolski!E31</f>
        <v>-</v>
      </c>
      <c r="T30" s="119" t="str">
        <f>Zachodniopomorski!E31</f>
        <v>-</v>
      </c>
    </row>
    <row r="31" spans="1:20" ht="38.25" customHeight="1">
      <c r="A31" s="31" t="s">
        <v>120</v>
      </c>
      <c r="B31" s="37" t="s">
        <v>123</v>
      </c>
      <c r="C31" s="119" t="str">
        <f>CENTRALA!E32</f>
        <v>-</v>
      </c>
      <c r="D31" s="118">
        <f t="shared" si="0"/>
        <v>0</v>
      </c>
      <c r="E31" s="119" t="str">
        <f>Dolnośląski!E32</f>
        <v>-</v>
      </c>
      <c r="F31" s="119" t="str">
        <f>KujawskoPomorski!E32</f>
        <v>-</v>
      </c>
      <c r="G31" s="119" t="str">
        <f>Lubelski!E32</f>
        <v>-</v>
      </c>
      <c r="H31" s="119" t="str">
        <f>Lubuski!E32</f>
        <v>-</v>
      </c>
      <c r="I31" s="119" t="str">
        <f>Łódzki!E32</f>
        <v>-</v>
      </c>
      <c r="J31" s="119" t="str">
        <f>Małopolski!E32</f>
        <v>-</v>
      </c>
      <c r="K31" s="119" t="str">
        <f>Mazowiecki!E32</f>
        <v>-</v>
      </c>
      <c r="L31" s="119" t="str">
        <f>Opolski!E32</f>
        <v>-</v>
      </c>
      <c r="M31" s="119" t="str">
        <f>Podkarpacki!E32</f>
        <v>-</v>
      </c>
      <c r="N31" s="119" t="str">
        <f>Podlaski!E32</f>
        <v>-</v>
      </c>
      <c r="O31" s="119" t="str">
        <f>Pomorski!E32</f>
        <v>-</v>
      </c>
      <c r="P31" s="119" t="str">
        <f>Śląski!E32</f>
        <v>-</v>
      </c>
      <c r="Q31" s="119" t="str">
        <f>Świętokrzyski!E32</f>
        <v>-</v>
      </c>
      <c r="R31" s="119" t="str">
        <f>WarmińskoMazurski!E32</f>
        <v>-</v>
      </c>
      <c r="S31" s="119" t="str">
        <f>Wielkopolski!E32</f>
        <v>-</v>
      </c>
      <c r="T31" s="119" t="str">
        <f>Zachodniopomorski!E32</f>
        <v>-</v>
      </c>
    </row>
    <row r="32" spans="1:20" ht="30" customHeight="1">
      <c r="A32" s="31" t="s">
        <v>121</v>
      </c>
      <c r="B32" s="37" t="s">
        <v>186</v>
      </c>
      <c r="C32" s="119" t="str">
        <f>CENTRALA!E33</f>
        <v>-</v>
      </c>
      <c r="D32" s="118">
        <f t="shared" si="0"/>
        <v>0</v>
      </c>
      <c r="E32" s="119" t="str">
        <f>Dolnośląski!E33</f>
        <v>-</v>
      </c>
      <c r="F32" s="119" t="str">
        <f>KujawskoPomorski!E33</f>
        <v>-</v>
      </c>
      <c r="G32" s="119" t="str">
        <f>Lubelski!E33</f>
        <v>-</v>
      </c>
      <c r="H32" s="119" t="str">
        <f>Lubuski!E33</f>
        <v>-</v>
      </c>
      <c r="I32" s="119" t="str">
        <f>Łódzki!E33</f>
        <v>-</v>
      </c>
      <c r="J32" s="119" t="str">
        <f>Małopolski!E33</f>
        <v>-</v>
      </c>
      <c r="K32" s="119" t="str">
        <f>Mazowiecki!E33</f>
        <v>-</v>
      </c>
      <c r="L32" s="119" t="str">
        <f>Opolski!E33</f>
        <v>-</v>
      </c>
      <c r="M32" s="119" t="str">
        <f>Podkarpacki!E33</f>
        <v>-</v>
      </c>
      <c r="N32" s="119" t="str">
        <f>Podlaski!E33</f>
        <v>-</v>
      </c>
      <c r="O32" s="119" t="str">
        <f>Pomorski!E33</f>
        <v>-</v>
      </c>
      <c r="P32" s="119" t="str">
        <f>Śląski!E33</f>
        <v>-</v>
      </c>
      <c r="Q32" s="119" t="str">
        <f>Świętokrzyski!E33</f>
        <v>-</v>
      </c>
      <c r="R32" s="119" t="str">
        <f>WarmińskoMazurski!E33</f>
        <v>-</v>
      </c>
      <c r="S32" s="119" t="str">
        <f>Wielkopolski!E33</f>
        <v>-</v>
      </c>
      <c r="T32" s="119" t="str">
        <f>Zachodniopomorski!E33</f>
        <v>-</v>
      </c>
    </row>
    <row r="33" spans="1:20" ht="30" customHeight="1">
      <c r="A33" s="31" t="s">
        <v>246</v>
      </c>
      <c r="B33" s="37" t="s">
        <v>247</v>
      </c>
      <c r="C33" s="119"/>
      <c r="D33" s="118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</row>
    <row r="34" spans="1:20" ht="21.75" customHeight="1" hidden="1">
      <c r="A34" s="32" t="s">
        <v>59</v>
      </c>
      <c r="B34" s="38" t="s">
        <v>60</v>
      </c>
      <c r="C34" s="119" t="str">
        <f>CENTRALA!E35</f>
        <v>-</v>
      </c>
      <c r="D34" s="118">
        <f t="shared" si="0"/>
        <v>0</v>
      </c>
      <c r="E34" s="119" t="str">
        <f>Dolnośląski!E35</f>
        <v>-</v>
      </c>
      <c r="F34" s="119" t="str">
        <f>KujawskoPomorski!E35</f>
        <v>-</v>
      </c>
      <c r="G34" s="119" t="str">
        <f>Lubelski!E35</f>
        <v>-</v>
      </c>
      <c r="H34" s="119" t="str">
        <f>Lubuski!E35</f>
        <v>-</v>
      </c>
      <c r="I34" s="119" t="str">
        <f>Łódzki!E35</f>
        <v>-</v>
      </c>
      <c r="J34" s="119" t="str">
        <f>Małopolski!E35</f>
        <v>-</v>
      </c>
      <c r="K34" s="119" t="str">
        <f>Mazowiecki!E35</f>
        <v>-</v>
      </c>
      <c r="L34" s="119" t="str">
        <f>Opolski!E35</f>
        <v>-</v>
      </c>
      <c r="M34" s="119" t="str">
        <f>Podkarpacki!E35</f>
        <v>-</v>
      </c>
      <c r="N34" s="119" t="str">
        <f>Podlaski!E35</f>
        <v>-</v>
      </c>
      <c r="O34" s="119" t="str">
        <f>Pomorski!E35</f>
        <v>-</v>
      </c>
      <c r="P34" s="119" t="str">
        <f>Śląski!E35</f>
        <v>-</v>
      </c>
      <c r="Q34" s="119" t="str">
        <f>Świętokrzyski!E35</f>
        <v>-</v>
      </c>
      <c r="R34" s="119" t="str">
        <f>WarmińskoMazurski!E35</f>
        <v>-</v>
      </c>
      <c r="S34" s="119" t="str">
        <f>Wielkopolski!E35</f>
        <v>-</v>
      </c>
      <c r="T34" s="119" t="str">
        <f>Zachodniopomorski!E35</f>
        <v>-</v>
      </c>
    </row>
    <row r="35" spans="1:20" ht="23.25" hidden="1">
      <c r="A35" s="32" t="s">
        <v>58</v>
      </c>
      <c r="B35" s="38" t="s">
        <v>61</v>
      </c>
      <c r="C35" s="119" t="str">
        <f>CENTRALA!E36</f>
        <v>-</v>
      </c>
      <c r="D35" s="118">
        <f t="shared" si="0"/>
        <v>0</v>
      </c>
      <c r="E35" s="119" t="str">
        <f>Dolnośląski!E36</f>
        <v>-</v>
      </c>
      <c r="F35" s="119" t="str">
        <f>KujawskoPomorski!E36</f>
        <v>-</v>
      </c>
      <c r="G35" s="119" t="str">
        <f>Lubelski!E36</f>
        <v>-</v>
      </c>
      <c r="H35" s="119" t="str">
        <f>Lubuski!E36</f>
        <v>-</v>
      </c>
      <c r="I35" s="119" t="str">
        <f>Łódzki!E36</f>
        <v>-</v>
      </c>
      <c r="J35" s="119" t="str">
        <f>Małopolski!E36</f>
        <v>-</v>
      </c>
      <c r="K35" s="119" t="str">
        <f>Mazowiecki!E36</f>
        <v>-</v>
      </c>
      <c r="L35" s="119" t="str">
        <f>Opolski!E36</f>
        <v>-</v>
      </c>
      <c r="M35" s="119" t="str">
        <f>Podkarpacki!E36</f>
        <v>-</v>
      </c>
      <c r="N35" s="119" t="str">
        <f>Podlaski!E36</f>
        <v>-</v>
      </c>
      <c r="O35" s="119" t="str">
        <f>Pomorski!E36</f>
        <v>-</v>
      </c>
      <c r="P35" s="119" t="str">
        <f>Śląski!E36</f>
        <v>-</v>
      </c>
      <c r="Q35" s="119" t="str">
        <f>Świętokrzyski!E36</f>
        <v>-</v>
      </c>
      <c r="R35" s="119" t="str">
        <f>WarmińskoMazurski!E36</f>
        <v>-</v>
      </c>
      <c r="S35" s="119" t="str">
        <f>Wielkopolski!E36</f>
        <v>-</v>
      </c>
      <c r="T35" s="119" t="str">
        <f>Zachodniopomorski!E36</f>
        <v>-</v>
      </c>
    </row>
    <row r="36" spans="1:20" ht="40.5" hidden="1">
      <c r="A36" s="32" t="s">
        <v>176</v>
      </c>
      <c r="B36" s="38" t="s">
        <v>177</v>
      </c>
      <c r="C36" s="119" t="str">
        <f>CENTRALA!E37</f>
        <v>-</v>
      </c>
      <c r="D36" s="118">
        <f t="shared" si="0"/>
        <v>0</v>
      </c>
      <c r="E36" s="119" t="str">
        <f>Dolnośląski!E37</f>
        <v>-</v>
      </c>
      <c r="F36" s="119" t="str">
        <f>KujawskoPomorski!E37</f>
        <v>-</v>
      </c>
      <c r="G36" s="119" t="str">
        <f>Lubelski!E37</f>
        <v>-</v>
      </c>
      <c r="H36" s="119" t="str">
        <f>Lubuski!E37</f>
        <v>-</v>
      </c>
      <c r="I36" s="119" t="str">
        <f>Łódzki!E37</f>
        <v>-</v>
      </c>
      <c r="J36" s="119" t="str">
        <f>Małopolski!E37</f>
        <v>-</v>
      </c>
      <c r="K36" s="119" t="str">
        <f>Mazowiecki!E37</f>
        <v>-</v>
      </c>
      <c r="L36" s="119" t="str">
        <f>Opolski!E37</f>
        <v>-</v>
      </c>
      <c r="M36" s="119" t="str">
        <f>Podkarpacki!E37</f>
        <v>-</v>
      </c>
      <c r="N36" s="119" t="str">
        <f>Podlaski!E37</f>
        <v>-</v>
      </c>
      <c r="O36" s="119" t="str">
        <f>Pomorski!E37</f>
        <v>-</v>
      </c>
      <c r="P36" s="119" t="str">
        <f>Śląski!E37</f>
        <v>-</v>
      </c>
      <c r="Q36" s="119" t="str">
        <f>Świętokrzyski!E37</f>
        <v>-</v>
      </c>
      <c r="R36" s="119" t="str">
        <f>WarmińskoMazurski!E37</f>
        <v>-</v>
      </c>
      <c r="S36" s="119" t="str">
        <f>Wielkopolski!E37</f>
        <v>-</v>
      </c>
      <c r="T36" s="119" t="str">
        <f>Zachodniopomorski!E37</f>
        <v>-</v>
      </c>
    </row>
    <row r="37" spans="1:20" ht="22.5" hidden="1">
      <c r="A37" s="26" t="s">
        <v>16</v>
      </c>
      <c r="B37" s="46" t="s">
        <v>250</v>
      </c>
      <c r="C37" s="117" t="str">
        <f>CENTRALA!E38</f>
        <v>-</v>
      </c>
      <c r="D37" s="123">
        <f t="shared" si="0"/>
        <v>0</v>
      </c>
      <c r="E37" s="117" t="str">
        <f>Dolnośląski!E38</f>
        <v>-</v>
      </c>
      <c r="F37" s="117" t="str">
        <f>KujawskoPomorski!E38</f>
        <v>-</v>
      </c>
      <c r="G37" s="117" t="str">
        <f>Lubelski!E38</f>
        <v>-</v>
      </c>
      <c r="H37" s="117" t="str">
        <f>Lubuski!E38</f>
        <v>-</v>
      </c>
      <c r="I37" s="117" t="str">
        <f>Łódzki!E38</f>
        <v>-</v>
      </c>
      <c r="J37" s="117" t="str">
        <f>Małopolski!E38</f>
        <v>-</v>
      </c>
      <c r="K37" s="117" t="str">
        <f>Mazowiecki!E38</f>
        <v>-</v>
      </c>
      <c r="L37" s="117" t="str">
        <f>Opolski!E38</f>
        <v>-</v>
      </c>
      <c r="M37" s="117" t="str">
        <f>Podkarpacki!E38</f>
        <v>-</v>
      </c>
      <c r="N37" s="117" t="str">
        <f>Podlaski!E38</f>
        <v>-</v>
      </c>
      <c r="O37" s="117" t="str">
        <f>Pomorski!E38</f>
        <v>-</v>
      </c>
      <c r="P37" s="117" t="str">
        <f>Śląski!E38</f>
        <v>-</v>
      </c>
      <c r="Q37" s="117" t="str">
        <f>Świętokrzyski!E38</f>
        <v>-</v>
      </c>
      <c r="R37" s="117" t="str">
        <f>WarmińskoMazurski!E38</f>
        <v>-</v>
      </c>
      <c r="S37" s="117" t="str">
        <f>Wielkopolski!E38</f>
        <v>-</v>
      </c>
      <c r="T37" s="117" t="str">
        <f>Zachodniopomorski!E38</f>
        <v>-</v>
      </c>
    </row>
    <row r="38" spans="1:20" ht="23.25" hidden="1">
      <c r="A38" s="31" t="s">
        <v>17</v>
      </c>
      <c r="B38" s="40" t="s">
        <v>18</v>
      </c>
      <c r="C38" s="119" t="str">
        <f>CENTRALA!E39</f>
        <v>-</v>
      </c>
      <c r="D38" s="118">
        <f t="shared" si="0"/>
        <v>0</v>
      </c>
      <c r="E38" s="119" t="str">
        <f>Dolnośląski!E39</f>
        <v>-</v>
      </c>
      <c r="F38" s="119" t="str">
        <f>KujawskoPomorski!E39</f>
        <v>-</v>
      </c>
      <c r="G38" s="119" t="str">
        <f>Lubelski!E39</f>
        <v>-</v>
      </c>
      <c r="H38" s="119" t="str">
        <f>Lubuski!E39</f>
        <v>-</v>
      </c>
      <c r="I38" s="119" t="str">
        <f>Łódzki!E39</f>
        <v>-</v>
      </c>
      <c r="J38" s="119" t="str">
        <f>Małopolski!E39</f>
        <v>-</v>
      </c>
      <c r="K38" s="119" t="str">
        <f>Mazowiecki!E39</f>
        <v>-</v>
      </c>
      <c r="L38" s="119" t="str">
        <f>Opolski!E39</f>
        <v>-</v>
      </c>
      <c r="M38" s="119" t="str">
        <f>Podkarpacki!E39</f>
        <v>-</v>
      </c>
      <c r="N38" s="119" t="str">
        <f>Podlaski!E39</f>
        <v>-</v>
      </c>
      <c r="O38" s="119" t="str">
        <f>Pomorski!E39</f>
        <v>-</v>
      </c>
      <c r="P38" s="119" t="str">
        <f>Śląski!E39</f>
        <v>-</v>
      </c>
      <c r="Q38" s="119" t="str">
        <f>Świętokrzyski!E39</f>
        <v>-</v>
      </c>
      <c r="R38" s="119" t="str">
        <f>WarmińskoMazurski!E39</f>
        <v>-</v>
      </c>
      <c r="S38" s="119" t="str">
        <f>Wielkopolski!E39</f>
        <v>-</v>
      </c>
      <c r="T38" s="119" t="str">
        <f>Zachodniopomorski!E39</f>
        <v>-</v>
      </c>
    </row>
    <row r="39" spans="1:20" ht="23.25" hidden="1">
      <c r="A39" s="31" t="s">
        <v>19</v>
      </c>
      <c r="B39" s="40" t="s">
        <v>20</v>
      </c>
      <c r="C39" s="119" t="str">
        <f>CENTRALA!E40</f>
        <v>-</v>
      </c>
      <c r="D39" s="118">
        <f t="shared" si="0"/>
        <v>0</v>
      </c>
      <c r="E39" s="119" t="str">
        <f>Dolnośląski!E40</f>
        <v>-</v>
      </c>
      <c r="F39" s="119" t="str">
        <f>KujawskoPomorski!E40</f>
        <v>-</v>
      </c>
      <c r="G39" s="119" t="str">
        <f>Lubelski!E40</f>
        <v>-</v>
      </c>
      <c r="H39" s="119" t="str">
        <f>Lubuski!E40</f>
        <v>-</v>
      </c>
      <c r="I39" s="119" t="str">
        <f>Łódzki!E40</f>
        <v>-</v>
      </c>
      <c r="J39" s="119" t="str">
        <f>Małopolski!E40</f>
        <v>-</v>
      </c>
      <c r="K39" s="119" t="str">
        <f>Mazowiecki!E40</f>
        <v>-</v>
      </c>
      <c r="L39" s="119" t="str">
        <f>Opolski!E40</f>
        <v>-</v>
      </c>
      <c r="M39" s="119" t="str">
        <f>Podkarpacki!E40</f>
        <v>-</v>
      </c>
      <c r="N39" s="119" t="str">
        <f>Podlaski!E40</f>
        <v>-</v>
      </c>
      <c r="O39" s="119" t="str">
        <f>Pomorski!E40</f>
        <v>-</v>
      </c>
      <c r="P39" s="119" t="str">
        <f>Śląski!E40</f>
        <v>-</v>
      </c>
      <c r="Q39" s="119" t="str">
        <f>Świętokrzyski!E40</f>
        <v>-</v>
      </c>
      <c r="R39" s="119" t="str">
        <f>WarmińskoMazurski!E40</f>
        <v>-</v>
      </c>
      <c r="S39" s="119" t="str">
        <f>Wielkopolski!E40</f>
        <v>-</v>
      </c>
      <c r="T39" s="119" t="str">
        <f>Zachodniopomorski!E40</f>
        <v>-</v>
      </c>
    </row>
    <row r="40" spans="1:20" ht="23.25" hidden="1">
      <c r="A40" s="31" t="s">
        <v>21</v>
      </c>
      <c r="B40" s="41" t="s">
        <v>251</v>
      </c>
      <c r="C40" s="119" t="str">
        <f>CENTRALA!E41</f>
        <v>-</v>
      </c>
      <c r="D40" s="118">
        <f aca="true" t="shared" si="1" ref="D40:D62">SUM(E40:T40)</f>
        <v>0</v>
      </c>
      <c r="E40" s="119" t="str">
        <f>Dolnośląski!E41</f>
        <v>-</v>
      </c>
      <c r="F40" s="119" t="str">
        <f>KujawskoPomorski!E41</f>
        <v>-</v>
      </c>
      <c r="G40" s="119" t="str">
        <f>Lubelski!E41</f>
        <v>-</v>
      </c>
      <c r="H40" s="119" t="str">
        <f>Lubuski!E41</f>
        <v>-</v>
      </c>
      <c r="I40" s="119" t="str">
        <f>Łódzki!E41</f>
        <v>-</v>
      </c>
      <c r="J40" s="119" t="str">
        <f>Małopolski!E41</f>
        <v>-</v>
      </c>
      <c r="K40" s="119" t="str">
        <f>Mazowiecki!E41</f>
        <v>-</v>
      </c>
      <c r="L40" s="119" t="str">
        <f>Opolski!E41</f>
        <v>-</v>
      </c>
      <c r="M40" s="119" t="str">
        <f>Podkarpacki!E41</f>
        <v>-</v>
      </c>
      <c r="N40" s="119" t="str">
        <f>Podlaski!E41</f>
        <v>-</v>
      </c>
      <c r="O40" s="119" t="str">
        <f>Pomorski!E41</f>
        <v>-</v>
      </c>
      <c r="P40" s="119" t="str">
        <f>Śląski!E41</f>
        <v>-</v>
      </c>
      <c r="Q40" s="119" t="str">
        <f>Świętokrzyski!E41</f>
        <v>-</v>
      </c>
      <c r="R40" s="119" t="str">
        <f>WarmińskoMazurski!E41</f>
        <v>-</v>
      </c>
      <c r="S40" s="119" t="str">
        <f>Wielkopolski!E41</f>
        <v>-</v>
      </c>
      <c r="T40" s="119" t="str">
        <f>Zachodniopomorski!E41</f>
        <v>-</v>
      </c>
    </row>
    <row r="41" spans="1:20" ht="23.25" hidden="1">
      <c r="A41" s="42" t="s">
        <v>39</v>
      </c>
      <c r="B41" s="43" t="s">
        <v>32</v>
      </c>
      <c r="C41" s="119" t="str">
        <f>CENTRALA!E42</f>
        <v>-</v>
      </c>
      <c r="D41" s="118">
        <f t="shared" si="1"/>
        <v>0</v>
      </c>
      <c r="E41" s="119" t="str">
        <f>Dolnośląski!E42</f>
        <v>-</v>
      </c>
      <c r="F41" s="119" t="str">
        <f>KujawskoPomorski!E42</f>
        <v>-</v>
      </c>
      <c r="G41" s="119" t="str">
        <f>Lubelski!E42</f>
        <v>-</v>
      </c>
      <c r="H41" s="119" t="str">
        <f>Lubuski!E42</f>
        <v>-</v>
      </c>
      <c r="I41" s="119" t="str">
        <f>Łódzki!E42</f>
        <v>-</v>
      </c>
      <c r="J41" s="119" t="str">
        <f>Małopolski!E42</f>
        <v>-</v>
      </c>
      <c r="K41" s="119" t="str">
        <f>Mazowiecki!E42</f>
        <v>-</v>
      </c>
      <c r="L41" s="119" t="str">
        <f>Opolski!E42</f>
        <v>-</v>
      </c>
      <c r="M41" s="119" t="str">
        <f>Podkarpacki!E42</f>
        <v>-</v>
      </c>
      <c r="N41" s="119" t="str">
        <f>Podlaski!E42</f>
        <v>-</v>
      </c>
      <c r="O41" s="119" t="str">
        <f>Pomorski!E42</f>
        <v>-</v>
      </c>
      <c r="P41" s="119" t="str">
        <f>Śląski!E42</f>
        <v>-</v>
      </c>
      <c r="Q41" s="119" t="str">
        <f>Świętokrzyski!E42</f>
        <v>-</v>
      </c>
      <c r="R41" s="119" t="str">
        <f>WarmińskoMazurski!E42</f>
        <v>-</v>
      </c>
      <c r="S41" s="119" t="str">
        <f>Wielkopolski!E42</f>
        <v>-</v>
      </c>
      <c r="T41" s="119" t="str">
        <f>Zachodniopomorski!E42</f>
        <v>-</v>
      </c>
    </row>
    <row r="42" spans="1:20" ht="23.25" hidden="1">
      <c r="A42" s="42" t="s">
        <v>40</v>
      </c>
      <c r="B42" s="44" t="s">
        <v>33</v>
      </c>
      <c r="C42" s="119" t="str">
        <f>CENTRALA!E43</f>
        <v>-</v>
      </c>
      <c r="D42" s="118">
        <f t="shared" si="1"/>
        <v>0</v>
      </c>
      <c r="E42" s="119" t="str">
        <f>Dolnośląski!E43</f>
        <v>-</v>
      </c>
      <c r="F42" s="119" t="str">
        <f>KujawskoPomorski!E43</f>
        <v>-</v>
      </c>
      <c r="G42" s="119" t="str">
        <f>Lubelski!E43</f>
        <v>-</v>
      </c>
      <c r="H42" s="119" t="str">
        <f>Lubuski!E43</f>
        <v>-</v>
      </c>
      <c r="I42" s="119" t="str">
        <f>Łódzki!E43</f>
        <v>-</v>
      </c>
      <c r="J42" s="119" t="str">
        <f>Małopolski!E43</f>
        <v>-</v>
      </c>
      <c r="K42" s="119" t="str">
        <f>Mazowiecki!E43</f>
        <v>-</v>
      </c>
      <c r="L42" s="119" t="str">
        <f>Opolski!E43</f>
        <v>-</v>
      </c>
      <c r="M42" s="119" t="str">
        <f>Podkarpacki!E43</f>
        <v>-</v>
      </c>
      <c r="N42" s="119" t="str">
        <f>Podlaski!E43</f>
        <v>-</v>
      </c>
      <c r="O42" s="119" t="str">
        <f>Pomorski!E43</f>
        <v>-</v>
      </c>
      <c r="P42" s="119" t="str">
        <f>Śląski!E43</f>
        <v>-</v>
      </c>
      <c r="Q42" s="119" t="str">
        <f>Świętokrzyski!E43</f>
        <v>-</v>
      </c>
      <c r="R42" s="119" t="str">
        <f>WarmińskoMazurski!E43</f>
        <v>-</v>
      </c>
      <c r="S42" s="119" t="str">
        <f>Wielkopolski!E43</f>
        <v>-</v>
      </c>
      <c r="T42" s="119" t="str">
        <f>Zachodniopomorski!E43</f>
        <v>-</v>
      </c>
    </row>
    <row r="43" spans="1:20" ht="23.25" hidden="1">
      <c r="A43" s="42" t="s">
        <v>41</v>
      </c>
      <c r="B43" s="43" t="s">
        <v>34</v>
      </c>
      <c r="C43" s="119" t="str">
        <f>CENTRALA!E44</f>
        <v>-</v>
      </c>
      <c r="D43" s="118">
        <f t="shared" si="1"/>
        <v>0</v>
      </c>
      <c r="E43" s="119" t="str">
        <f>Dolnośląski!E44</f>
        <v>-</v>
      </c>
      <c r="F43" s="119" t="str">
        <f>KujawskoPomorski!E44</f>
        <v>-</v>
      </c>
      <c r="G43" s="119" t="str">
        <f>Lubelski!E44</f>
        <v>-</v>
      </c>
      <c r="H43" s="119" t="str">
        <f>Lubuski!E44</f>
        <v>-</v>
      </c>
      <c r="I43" s="119" t="str">
        <f>Łódzki!E44</f>
        <v>-</v>
      </c>
      <c r="J43" s="119" t="str">
        <f>Małopolski!E44</f>
        <v>-</v>
      </c>
      <c r="K43" s="119" t="str">
        <f>Mazowiecki!E44</f>
        <v>-</v>
      </c>
      <c r="L43" s="119" t="str">
        <f>Opolski!E44</f>
        <v>-</v>
      </c>
      <c r="M43" s="119" t="str">
        <f>Podkarpacki!E44</f>
        <v>-</v>
      </c>
      <c r="N43" s="119" t="str">
        <f>Podlaski!E44</f>
        <v>-</v>
      </c>
      <c r="O43" s="119" t="str">
        <f>Pomorski!E44</f>
        <v>-</v>
      </c>
      <c r="P43" s="119" t="str">
        <f>Śląski!E44</f>
        <v>-</v>
      </c>
      <c r="Q43" s="119" t="str">
        <f>Świętokrzyski!E44</f>
        <v>-</v>
      </c>
      <c r="R43" s="119" t="str">
        <f>WarmińskoMazurski!E44</f>
        <v>-</v>
      </c>
      <c r="S43" s="119" t="str">
        <f>Wielkopolski!E44</f>
        <v>-</v>
      </c>
      <c r="T43" s="119" t="str">
        <f>Zachodniopomorski!E44</f>
        <v>-</v>
      </c>
    </row>
    <row r="44" spans="1:20" ht="23.25" hidden="1">
      <c r="A44" s="42" t="s">
        <v>42</v>
      </c>
      <c r="B44" s="43" t="s">
        <v>35</v>
      </c>
      <c r="C44" s="119" t="str">
        <f>CENTRALA!E45</f>
        <v>-</v>
      </c>
      <c r="D44" s="118">
        <f t="shared" si="1"/>
        <v>0</v>
      </c>
      <c r="E44" s="119" t="str">
        <f>Dolnośląski!E45</f>
        <v>-</v>
      </c>
      <c r="F44" s="119" t="str">
        <f>KujawskoPomorski!E45</f>
        <v>-</v>
      </c>
      <c r="G44" s="119" t="str">
        <f>Lubelski!E45</f>
        <v>-</v>
      </c>
      <c r="H44" s="119" t="str">
        <f>Lubuski!E45</f>
        <v>-</v>
      </c>
      <c r="I44" s="119" t="str">
        <f>Łódzki!E45</f>
        <v>-</v>
      </c>
      <c r="J44" s="119" t="str">
        <f>Małopolski!E45</f>
        <v>-</v>
      </c>
      <c r="K44" s="119" t="str">
        <f>Mazowiecki!E45</f>
        <v>-</v>
      </c>
      <c r="L44" s="119" t="str">
        <f>Opolski!E45</f>
        <v>-</v>
      </c>
      <c r="M44" s="119" t="str">
        <f>Podkarpacki!E45</f>
        <v>-</v>
      </c>
      <c r="N44" s="119" t="str">
        <f>Podlaski!E45</f>
        <v>-</v>
      </c>
      <c r="O44" s="119" t="str">
        <f>Pomorski!E45</f>
        <v>-</v>
      </c>
      <c r="P44" s="119" t="str">
        <f>Śląski!E45</f>
        <v>-</v>
      </c>
      <c r="Q44" s="119" t="str">
        <f>Świętokrzyski!E45</f>
        <v>-</v>
      </c>
      <c r="R44" s="119" t="str">
        <f>WarmińskoMazurski!E45</f>
        <v>-</v>
      </c>
      <c r="S44" s="119" t="str">
        <f>Wielkopolski!E45</f>
        <v>-</v>
      </c>
      <c r="T44" s="119" t="str">
        <f>Zachodniopomorski!E45</f>
        <v>-</v>
      </c>
    </row>
    <row r="45" spans="1:20" ht="23.25" hidden="1">
      <c r="A45" s="42" t="s">
        <v>43</v>
      </c>
      <c r="B45" s="43" t="s">
        <v>36</v>
      </c>
      <c r="C45" s="119" t="str">
        <f>CENTRALA!E46</f>
        <v>-</v>
      </c>
      <c r="D45" s="118">
        <f t="shared" si="1"/>
        <v>0</v>
      </c>
      <c r="E45" s="119" t="str">
        <f>Dolnośląski!E46</f>
        <v>-</v>
      </c>
      <c r="F45" s="119" t="str">
        <f>KujawskoPomorski!E46</f>
        <v>-</v>
      </c>
      <c r="G45" s="119" t="str">
        <f>Lubelski!E46</f>
        <v>-</v>
      </c>
      <c r="H45" s="119" t="str">
        <f>Lubuski!E46</f>
        <v>-</v>
      </c>
      <c r="I45" s="119" t="str">
        <f>Łódzki!E46</f>
        <v>-</v>
      </c>
      <c r="J45" s="119" t="str">
        <f>Małopolski!E46</f>
        <v>-</v>
      </c>
      <c r="K45" s="119" t="str">
        <f>Mazowiecki!E46</f>
        <v>-</v>
      </c>
      <c r="L45" s="119" t="str">
        <f>Opolski!E46</f>
        <v>-</v>
      </c>
      <c r="M45" s="119" t="str">
        <f>Podkarpacki!E46</f>
        <v>-</v>
      </c>
      <c r="N45" s="119" t="str">
        <f>Podlaski!E46</f>
        <v>-</v>
      </c>
      <c r="O45" s="119" t="str">
        <f>Pomorski!E46</f>
        <v>-</v>
      </c>
      <c r="P45" s="119" t="str">
        <f>Śląski!E46</f>
        <v>-</v>
      </c>
      <c r="Q45" s="119" t="str">
        <f>Świętokrzyski!E46</f>
        <v>-</v>
      </c>
      <c r="R45" s="119" t="str">
        <f>WarmińskoMazurski!E46</f>
        <v>-</v>
      </c>
      <c r="S45" s="119" t="str">
        <f>Wielkopolski!E46</f>
        <v>-</v>
      </c>
      <c r="T45" s="119" t="str">
        <f>Zachodniopomorski!E46</f>
        <v>-</v>
      </c>
    </row>
    <row r="46" spans="1:20" ht="23.25" hidden="1">
      <c r="A46" s="42" t="s">
        <v>44</v>
      </c>
      <c r="B46" s="43" t="s">
        <v>37</v>
      </c>
      <c r="C46" s="119" t="str">
        <f>CENTRALA!E47</f>
        <v>-</v>
      </c>
      <c r="D46" s="118">
        <f t="shared" si="1"/>
        <v>0</v>
      </c>
      <c r="E46" s="119" t="str">
        <f>Dolnośląski!E47</f>
        <v>-</v>
      </c>
      <c r="F46" s="119" t="str">
        <f>KujawskoPomorski!E47</f>
        <v>-</v>
      </c>
      <c r="G46" s="119" t="str">
        <f>Lubelski!E47</f>
        <v>-</v>
      </c>
      <c r="H46" s="119" t="str">
        <f>Lubuski!E47</f>
        <v>-</v>
      </c>
      <c r="I46" s="119" t="str">
        <f>Łódzki!E47</f>
        <v>-</v>
      </c>
      <c r="J46" s="119" t="str">
        <f>Małopolski!E47</f>
        <v>-</v>
      </c>
      <c r="K46" s="119" t="str">
        <f>Mazowiecki!E47</f>
        <v>-</v>
      </c>
      <c r="L46" s="119" t="str">
        <f>Opolski!E47</f>
        <v>-</v>
      </c>
      <c r="M46" s="119" t="str">
        <f>Podkarpacki!E47</f>
        <v>-</v>
      </c>
      <c r="N46" s="119" t="str">
        <f>Podlaski!E47</f>
        <v>-</v>
      </c>
      <c r="O46" s="119" t="str">
        <f>Pomorski!E47</f>
        <v>-</v>
      </c>
      <c r="P46" s="119" t="str">
        <f>Śląski!E47</f>
        <v>-</v>
      </c>
      <c r="Q46" s="119" t="str">
        <f>Świętokrzyski!E47</f>
        <v>-</v>
      </c>
      <c r="R46" s="119" t="str">
        <f>WarmińskoMazurski!E47</f>
        <v>-</v>
      </c>
      <c r="S46" s="119" t="str">
        <f>Wielkopolski!E47</f>
        <v>-</v>
      </c>
      <c r="T46" s="119" t="str">
        <f>Zachodniopomorski!E47</f>
        <v>-</v>
      </c>
    </row>
    <row r="47" spans="1:20" ht="23.25" hidden="1">
      <c r="A47" s="42" t="s">
        <v>45</v>
      </c>
      <c r="B47" s="43" t="s">
        <v>38</v>
      </c>
      <c r="C47" s="119" t="str">
        <f>CENTRALA!E48</f>
        <v>-</v>
      </c>
      <c r="D47" s="118">
        <f t="shared" si="1"/>
        <v>0</v>
      </c>
      <c r="E47" s="119" t="str">
        <f>Dolnośląski!E48</f>
        <v>-</v>
      </c>
      <c r="F47" s="119" t="str">
        <f>KujawskoPomorski!E48</f>
        <v>-</v>
      </c>
      <c r="G47" s="119" t="str">
        <f>Lubelski!E48</f>
        <v>-</v>
      </c>
      <c r="H47" s="119" t="str">
        <f>Lubuski!E48</f>
        <v>-</v>
      </c>
      <c r="I47" s="119" t="str">
        <f>Łódzki!E48</f>
        <v>-</v>
      </c>
      <c r="J47" s="119" t="str">
        <f>Małopolski!E48</f>
        <v>-</v>
      </c>
      <c r="K47" s="119" t="str">
        <f>Mazowiecki!E48</f>
        <v>-</v>
      </c>
      <c r="L47" s="119" t="str">
        <f>Opolski!E48</f>
        <v>-</v>
      </c>
      <c r="M47" s="119" t="str">
        <f>Podkarpacki!E48</f>
        <v>-</v>
      </c>
      <c r="N47" s="119" t="str">
        <f>Podlaski!E48</f>
        <v>-</v>
      </c>
      <c r="O47" s="119" t="str">
        <f>Pomorski!E48</f>
        <v>-</v>
      </c>
      <c r="P47" s="119" t="str">
        <f>Śląski!E48</f>
        <v>-</v>
      </c>
      <c r="Q47" s="119" t="str">
        <f>Świętokrzyski!E48</f>
        <v>-</v>
      </c>
      <c r="R47" s="119" t="str">
        <f>WarmińskoMazurski!E48</f>
        <v>-</v>
      </c>
      <c r="S47" s="119" t="str">
        <f>Wielkopolski!E48</f>
        <v>-</v>
      </c>
      <c r="T47" s="119" t="str">
        <f>Zachodniopomorski!E48</f>
        <v>-</v>
      </c>
    </row>
    <row r="48" spans="1:20" ht="23.25" hidden="1">
      <c r="A48" s="31" t="s">
        <v>22</v>
      </c>
      <c r="B48" s="40" t="s">
        <v>178</v>
      </c>
      <c r="C48" s="119" t="str">
        <f>CENTRALA!E49</f>
        <v>-</v>
      </c>
      <c r="D48" s="118">
        <f t="shared" si="1"/>
        <v>0</v>
      </c>
      <c r="E48" s="119" t="str">
        <f>Dolnośląski!E49</f>
        <v>-</v>
      </c>
      <c r="F48" s="119" t="str">
        <f>KujawskoPomorski!E49</f>
        <v>-</v>
      </c>
      <c r="G48" s="119" t="str">
        <f>Lubelski!E49</f>
        <v>-</v>
      </c>
      <c r="H48" s="119" t="str">
        <f>Lubuski!E49</f>
        <v>-</v>
      </c>
      <c r="I48" s="119" t="str">
        <f>Łódzki!E49</f>
        <v>-</v>
      </c>
      <c r="J48" s="119" t="str">
        <f>Małopolski!E49</f>
        <v>-</v>
      </c>
      <c r="K48" s="119" t="str">
        <f>Mazowiecki!E49</f>
        <v>-</v>
      </c>
      <c r="L48" s="119" t="str">
        <f>Opolski!E49</f>
        <v>-</v>
      </c>
      <c r="M48" s="119" t="str">
        <f>Podkarpacki!E49</f>
        <v>-</v>
      </c>
      <c r="N48" s="119" t="str">
        <f>Podlaski!E49</f>
        <v>-</v>
      </c>
      <c r="O48" s="119" t="str">
        <f>Pomorski!E49</f>
        <v>-</v>
      </c>
      <c r="P48" s="119" t="str">
        <f>Śląski!E49</f>
        <v>-</v>
      </c>
      <c r="Q48" s="119" t="str">
        <f>Świętokrzyski!E49</f>
        <v>-</v>
      </c>
      <c r="R48" s="119" t="str">
        <f>WarmińskoMazurski!E49</f>
        <v>-</v>
      </c>
      <c r="S48" s="119" t="str">
        <f>Wielkopolski!E49</f>
        <v>-</v>
      </c>
      <c r="T48" s="119" t="str">
        <f>Zachodniopomorski!E49</f>
        <v>-</v>
      </c>
    </row>
    <row r="49" spans="1:20" ht="23.25" hidden="1">
      <c r="A49" s="42" t="s">
        <v>179</v>
      </c>
      <c r="B49" s="43" t="s">
        <v>180</v>
      </c>
      <c r="C49" s="119" t="str">
        <f>CENTRALA!E50</f>
        <v>-</v>
      </c>
      <c r="D49" s="118">
        <f t="shared" si="1"/>
        <v>0</v>
      </c>
      <c r="E49" s="119" t="str">
        <f>Dolnośląski!E50</f>
        <v>-</v>
      </c>
      <c r="F49" s="119" t="str">
        <f>KujawskoPomorski!E50</f>
        <v>-</v>
      </c>
      <c r="G49" s="119" t="str">
        <f>Lubelski!E50</f>
        <v>-</v>
      </c>
      <c r="H49" s="119" t="str">
        <f>Lubuski!E50</f>
        <v>-</v>
      </c>
      <c r="I49" s="119" t="str">
        <f>Łódzki!E50</f>
        <v>-</v>
      </c>
      <c r="J49" s="119" t="str">
        <f>Małopolski!E50</f>
        <v>-</v>
      </c>
      <c r="K49" s="119" t="str">
        <f>Mazowiecki!E50</f>
        <v>-</v>
      </c>
      <c r="L49" s="119" t="str">
        <f>Opolski!E50</f>
        <v>-</v>
      </c>
      <c r="M49" s="119" t="str">
        <f>Podkarpacki!E50</f>
        <v>-</v>
      </c>
      <c r="N49" s="119" t="str">
        <f>Podlaski!E50</f>
        <v>-</v>
      </c>
      <c r="O49" s="119" t="str">
        <f>Pomorski!E50</f>
        <v>-</v>
      </c>
      <c r="P49" s="119" t="str">
        <f>Śląski!E50</f>
        <v>-</v>
      </c>
      <c r="Q49" s="119" t="str">
        <f>Świętokrzyski!E50</f>
        <v>-</v>
      </c>
      <c r="R49" s="119" t="str">
        <f>WarmińskoMazurski!E50</f>
        <v>-</v>
      </c>
      <c r="S49" s="119" t="str">
        <f>Wielkopolski!E50</f>
        <v>-</v>
      </c>
      <c r="T49" s="119" t="str">
        <f>Zachodniopomorski!E50</f>
        <v>-</v>
      </c>
    </row>
    <row r="50" spans="1:20" ht="23.25" hidden="1">
      <c r="A50" s="31" t="s">
        <v>23</v>
      </c>
      <c r="B50" s="41" t="s">
        <v>252</v>
      </c>
      <c r="C50" s="119" t="str">
        <f>CENTRALA!E51</f>
        <v>-</v>
      </c>
      <c r="D50" s="118">
        <f t="shared" si="1"/>
        <v>0</v>
      </c>
      <c r="E50" s="119" t="str">
        <f>Dolnośląski!E51</f>
        <v>-</v>
      </c>
      <c r="F50" s="119" t="str">
        <f>KujawskoPomorski!E51</f>
        <v>-</v>
      </c>
      <c r="G50" s="119" t="str">
        <f>Lubelski!E51</f>
        <v>-</v>
      </c>
      <c r="H50" s="119" t="str">
        <f>Lubuski!E51</f>
        <v>-</v>
      </c>
      <c r="I50" s="119" t="str">
        <f>Łódzki!E51</f>
        <v>-</v>
      </c>
      <c r="J50" s="119" t="str">
        <f>Małopolski!E51</f>
        <v>-</v>
      </c>
      <c r="K50" s="119" t="str">
        <f>Mazowiecki!E51</f>
        <v>-</v>
      </c>
      <c r="L50" s="119" t="str">
        <f>Opolski!E51</f>
        <v>-</v>
      </c>
      <c r="M50" s="119" t="str">
        <f>Podkarpacki!E51</f>
        <v>-</v>
      </c>
      <c r="N50" s="119" t="str">
        <f>Podlaski!E51</f>
        <v>-</v>
      </c>
      <c r="O50" s="119" t="str">
        <f>Pomorski!E51</f>
        <v>-</v>
      </c>
      <c r="P50" s="119" t="str">
        <f>Śląski!E51</f>
        <v>-</v>
      </c>
      <c r="Q50" s="119" t="str">
        <f>Świętokrzyski!E51</f>
        <v>-</v>
      </c>
      <c r="R50" s="119" t="str">
        <f>WarmińskoMazurski!E51</f>
        <v>-</v>
      </c>
      <c r="S50" s="119" t="str">
        <f>Wielkopolski!E51</f>
        <v>-</v>
      </c>
      <c r="T50" s="119" t="str">
        <f>Zachodniopomorski!E51</f>
        <v>-</v>
      </c>
    </row>
    <row r="51" spans="1:20" ht="23.25" hidden="1">
      <c r="A51" s="42" t="s">
        <v>50</v>
      </c>
      <c r="B51" s="43" t="s">
        <v>46</v>
      </c>
      <c r="C51" s="119" t="str">
        <f>CENTRALA!E52</f>
        <v>-</v>
      </c>
      <c r="D51" s="118">
        <f t="shared" si="1"/>
        <v>0</v>
      </c>
      <c r="E51" s="119" t="str">
        <f>Dolnośląski!E52</f>
        <v>-</v>
      </c>
      <c r="F51" s="119" t="str">
        <f>KujawskoPomorski!E52</f>
        <v>-</v>
      </c>
      <c r="G51" s="119" t="str">
        <f>Lubelski!E52</f>
        <v>-</v>
      </c>
      <c r="H51" s="119" t="str">
        <f>Lubuski!E52</f>
        <v>-</v>
      </c>
      <c r="I51" s="119" t="str">
        <f>Łódzki!E52</f>
        <v>-</v>
      </c>
      <c r="J51" s="119" t="str">
        <f>Małopolski!E52</f>
        <v>-</v>
      </c>
      <c r="K51" s="119" t="str">
        <f>Mazowiecki!E52</f>
        <v>-</v>
      </c>
      <c r="L51" s="119" t="str">
        <f>Opolski!E52</f>
        <v>-</v>
      </c>
      <c r="M51" s="119" t="str">
        <f>Podkarpacki!E52</f>
        <v>-</v>
      </c>
      <c r="N51" s="119" t="str">
        <f>Podlaski!E52</f>
        <v>-</v>
      </c>
      <c r="O51" s="119" t="str">
        <f>Pomorski!E52</f>
        <v>-</v>
      </c>
      <c r="P51" s="119" t="str">
        <f>Śląski!E52</f>
        <v>-</v>
      </c>
      <c r="Q51" s="119" t="str">
        <f>Świętokrzyski!E52</f>
        <v>-</v>
      </c>
      <c r="R51" s="119" t="str">
        <f>WarmińskoMazurski!E52</f>
        <v>-</v>
      </c>
      <c r="S51" s="119" t="str">
        <f>Wielkopolski!E52</f>
        <v>-</v>
      </c>
      <c r="T51" s="119" t="str">
        <f>Zachodniopomorski!E52</f>
        <v>-</v>
      </c>
    </row>
    <row r="52" spans="1:20" ht="23.25" hidden="1">
      <c r="A52" s="42" t="s">
        <v>51</v>
      </c>
      <c r="B52" s="43" t="s">
        <v>47</v>
      </c>
      <c r="C52" s="119" t="str">
        <f>CENTRALA!E53</f>
        <v>-</v>
      </c>
      <c r="D52" s="118">
        <f t="shared" si="1"/>
        <v>0</v>
      </c>
      <c r="E52" s="119" t="str">
        <f>Dolnośląski!E53</f>
        <v>-</v>
      </c>
      <c r="F52" s="119" t="str">
        <f>KujawskoPomorski!E53</f>
        <v>-</v>
      </c>
      <c r="G52" s="119" t="str">
        <f>Lubelski!E53</f>
        <v>-</v>
      </c>
      <c r="H52" s="119" t="str">
        <f>Lubuski!E53</f>
        <v>-</v>
      </c>
      <c r="I52" s="119" t="str">
        <f>Łódzki!E53</f>
        <v>-</v>
      </c>
      <c r="J52" s="119" t="str">
        <f>Małopolski!E53</f>
        <v>-</v>
      </c>
      <c r="K52" s="119" t="str">
        <f>Mazowiecki!E53</f>
        <v>-</v>
      </c>
      <c r="L52" s="119" t="str">
        <f>Opolski!E53</f>
        <v>-</v>
      </c>
      <c r="M52" s="119" t="str">
        <f>Podkarpacki!E53</f>
        <v>-</v>
      </c>
      <c r="N52" s="119" t="str">
        <f>Podlaski!E53</f>
        <v>-</v>
      </c>
      <c r="O52" s="119" t="str">
        <f>Pomorski!E53</f>
        <v>-</v>
      </c>
      <c r="P52" s="119" t="str">
        <f>Śląski!E53</f>
        <v>-</v>
      </c>
      <c r="Q52" s="119" t="str">
        <f>Świętokrzyski!E53</f>
        <v>-</v>
      </c>
      <c r="R52" s="119" t="str">
        <f>WarmińskoMazurski!E53</f>
        <v>-</v>
      </c>
      <c r="S52" s="119" t="str">
        <f>Wielkopolski!E53</f>
        <v>-</v>
      </c>
      <c r="T52" s="119" t="str">
        <f>Zachodniopomorski!E53</f>
        <v>-</v>
      </c>
    </row>
    <row r="53" spans="1:20" ht="23.25" hidden="1">
      <c r="A53" s="42" t="s">
        <v>52</v>
      </c>
      <c r="B53" s="43" t="s">
        <v>48</v>
      </c>
      <c r="C53" s="119" t="str">
        <f>CENTRALA!E54</f>
        <v>-</v>
      </c>
      <c r="D53" s="118">
        <f t="shared" si="1"/>
        <v>0</v>
      </c>
      <c r="E53" s="119" t="str">
        <f>Dolnośląski!E54</f>
        <v>-</v>
      </c>
      <c r="F53" s="119" t="str">
        <f>KujawskoPomorski!E54</f>
        <v>-</v>
      </c>
      <c r="G53" s="119" t="str">
        <f>Lubelski!E54</f>
        <v>-</v>
      </c>
      <c r="H53" s="119" t="str">
        <f>Lubuski!E54</f>
        <v>-</v>
      </c>
      <c r="I53" s="119" t="str">
        <f>Łódzki!E54</f>
        <v>-</v>
      </c>
      <c r="J53" s="119" t="str">
        <f>Małopolski!E54</f>
        <v>-</v>
      </c>
      <c r="K53" s="119" t="str">
        <f>Mazowiecki!E54</f>
        <v>-</v>
      </c>
      <c r="L53" s="119" t="str">
        <f>Opolski!E54</f>
        <v>-</v>
      </c>
      <c r="M53" s="119" t="str">
        <f>Podkarpacki!E54</f>
        <v>-</v>
      </c>
      <c r="N53" s="119" t="str">
        <f>Podlaski!E54</f>
        <v>-</v>
      </c>
      <c r="O53" s="119" t="str">
        <f>Pomorski!E54</f>
        <v>-</v>
      </c>
      <c r="P53" s="119" t="str">
        <f>Śląski!E54</f>
        <v>-</v>
      </c>
      <c r="Q53" s="119" t="str">
        <f>Świętokrzyski!E54</f>
        <v>-</v>
      </c>
      <c r="R53" s="119" t="str">
        <f>WarmińskoMazurski!E54</f>
        <v>-</v>
      </c>
      <c r="S53" s="119" t="str">
        <f>Wielkopolski!E54</f>
        <v>-</v>
      </c>
      <c r="T53" s="119" t="str">
        <f>Zachodniopomorski!E54</f>
        <v>-</v>
      </c>
    </row>
    <row r="54" spans="1:20" ht="23.25" hidden="1">
      <c r="A54" s="42" t="s">
        <v>53</v>
      </c>
      <c r="B54" s="43" t="s">
        <v>49</v>
      </c>
      <c r="C54" s="119" t="str">
        <f>CENTRALA!E55</f>
        <v>-</v>
      </c>
      <c r="D54" s="118">
        <f t="shared" si="1"/>
        <v>0</v>
      </c>
      <c r="E54" s="119" t="str">
        <f>Dolnośląski!E55</f>
        <v>-</v>
      </c>
      <c r="F54" s="119" t="str">
        <f>KujawskoPomorski!E55</f>
        <v>-</v>
      </c>
      <c r="G54" s="119" t="str">
        <f>Lubelski!E55</f>
        <v>-</v>
      </c>
      <c r="H54" s="119" t="str">
        <f>Lubuski!E55</f>
        <v>-</v>
      </c>
      <c r="I54" s="119" t="str">
        <f>Łódzki!E55</f>
        <v>-</v>
      </c>
      <c r="J54" s="119" t="str">
        <f>Małopolski!E55</f>
        <v>-</v>
      </c>
      <c r="K54" s="119" t="str">
        <f>Mazowiecki!E55</f>
        <v>-</v>
      </c>
      <c r="L54" s="119" t="str">
        <f>Opolski!E55</f>
        <v>-</v>
      </c>
      <c r="M54" s="119" t="str">
        <f>Podkarpacki!E55</f>
        <v>-</v>
      </c>
      <c r="N54" s="119" t="str">
        <f>Podlaski!E55</f>
        <v>-</v>
      </c>
      <c r="O54" s="119" t="str">
        <f>Pomorski!E55</f>
        <v>-</v>
      </c>
      <c r="P54" s="119" t="str">
        <f>Śląski!E55</f>
        <v>-</v>
      </c>
      <c r="Q54" s="119" t="str">
        <f>Świętokrzyski!E55</f>
        <v>-</v>
      </c>
      <c r="R54" s="119" t="str">
        <f>WarmińskoMazurski!E55</f>
        <v>-</v>
      </c>
      <c r="S54" s="119" t="str">
        <f>Wielkopolski!E55</f>
        <v>-</v>
      </c>
      <c r="T54" s="119" t="str">
        <f>Zachodniopomorski!E55</f>
        <v>-</v>
      </c>
    </row>
    <row r="55" spans="1:20" ht="23.25" hidden="1">
      <c r="A55" s="31" t="s">
        <v>24</v>
      </c>
      <c r="B55" s="40" t="s">
        <v>25</v>
      </c>
      <c r="C55" s="119" t="str">
        <f>CENTRALA!E56</f>
        <v>-</v>
      </c>
      <c r="D55" s="118">
        <f t="shared" si="1"/>
        <v>0</v>
      </c>
      <c r="E55" s="119" t="str">
        <f>Dolnośląski!E56</f>
        <v>-</v>
      </c>
      <c r="F55" s="119" t="str">
        <f>KujawskoPomorski!E56</f>
        <v>-</v>
      </c>
      <c r="G55" s="119" t="str">
        <f>Lubelski!E56</f>
        <v>-</v>
      </c>
      <c r="H55" s="119" t="str">
        <f>Lubuski!E56</f>
        <v>-</v>
      </c>
      <c r="I55" s="119" t="str">
        <f>Łódzki!E56</f>
        <v>-</v>
      </c>
      <c r="J55" s="119" t="str">
        <f>Małopolski!E56</f>
        <v>-</v>
      </c>
      <c r="K55" s="119" t="str">
        <f>Mazowiecki!E56</f>
        <v>-</v>
      </c>
      <c r="L55" s="119" t="str">
        <f>Opolski!E56</f>
        <v>-</v>
      </c>
      <c r="M55" s="119" t="str">
        <f>Podkarpacki!E56</f>
        <v>-</v>
      </c>
      <c r="N55" s="119" t="str">
        <f>Podlaski!E56</f>
        <v>-</v>
      </c>
      <c r="O55" s="119" t="str">
        <f>Pomorski!E56</f>
        <v>-</v>
      </c>
      <c r="P55" s="119" t="str">
        <f>Śląski!E56</f>
        <v>-</v>
      </c>
      <c r="Q55" s="119" t="str">
        <f>Świętokrzyski!E56</f>
        <v>-</v>
      </c>
      <c r="R55" s="119" t="str">
        <f>WarmińskoMazurski!E56</f>
        <v>-</v>
      </c>
      <c r="S55" s="119" t="str">
        <f>Wielkopolski!E56</f>
        <v>-</v>
      </c>
      <c r="T55" s="119" t="str">
        <f>Zachodniopomorski!E56</f>
        <v>-</v>
      </c>
    </row>
    <row r="56" spans="1:20" ht="23.25" hidden="1">
      <c r="A56" s="31" t="s">
        <v>26</v>
      </c>
      <c r="B56" s="40" t="s">
        <v>181</v>
      </c>
      <c r="C56" s="119" t="str">
        <f>CENTRALA!E57</f>
        <v>-</v>
      </c>
      <c r="D56" s="118">
        <f t="shared" si="1"/>
        <v>0</v>
      </c>
      <c r="E56" s="119" t="str">
        <f>Dolnośląski!E57</f>
        <v>-</v>
      </c>
      <c r="F56" s="119" t="str">
        <f>KujawskoPomorski!E57</f>
        <v>-</v>
      </c>
      <c r="G56" s="119" t="str">
        <f>Lubelski!E57</f>
        <v>-</v>
      </c>
      <c r="H56" s="119" t="str">
        <f>Lubuski!E57</f>
        <v>-</v>
      </c>
      <c r="I56" s="119" t="str">
        <f>Łódzki!E57</f>
        <v>-</v>
      </c>
      <c r="J56" s="119" t="str">
        <f>Małopolski!E57</f>
        <v>-</v>
      </c>
      <c r="K56" s="119" t="str">
        <f>Mazowiecki!E57</f>
        <v>-</v>
      </c>
      <c r="L56" s="119" t="str">
        <f>Opolski!E57</f>
        <v>-</v>
      </c>
      <c r="M56" s="119" t="str">
        <f>Podkarpacki!E57</f>
        <v>-</v>
      </c>
      <c r="N56" s="119" t="str">
        <f>Podlaski!E57</f>
        <v>-</v>
      </c>
      <c r="O56" s="119" t="str">
        <f>Pomorski!E57</f>
        <v>-</v>
      </c>
      <c r="P56" s="119" t="str">
        <f>Śląski!E57</f>
        <v>-</v>
      </c>
      <c r="Q56" s="119" t="str">
        <f>Świętokrzyski!E57</f>
        <v>-</v>
      </c>
      <c r="R56" s="119" t="str">
        <f>WarmińskoMazurski!E57</f>
        <v>-</v>
      </c>
      <c r="S56" s="119" t="str">
        <f>Wielkopolski!E57</f>
        <v>-</v>
      </c>
      <c r="T56" s="119" t="str">
        <f>Zachodniopomorski!E57</f>
        <v>-</v>
      </c>
    </row>
    <row r="57" spans="1:20" ht="23.25" hidden="1">
      <c r="A57" s="31" t="s">
        <v>27</v>
      </c>
      <c r="B57" s="40" t="s">
        <v>28</v>
      </c>
      <c r="C57" s="119" t="str">
        <f>CENTRALA!E58</f>
        <v>-</v>
      </c>
      <c r="D57" s="118">
        <f t="shared" si="1"/>
        <v>0</v>
      </c>
      <c r="E57" s="119" t="str">
        <f>Dolnośląski!E58</f>
        <v>-</v>
      </c>
      <c r="F57" s="119" t="str">
        <f>KujawskoPomorski!E58</f>
        <v>-</v>
      </c>
      <c r="G57" s="119" t="str">
        <f>Lubelski!E58</f>
        <v>-</v>
      </c>
      <c r="H57" s="119" t="str">
        <f>Lubuski!E58</f>
        <v>-</v>
      </c>
      <c r="I57" s="119" t="str">
        <f>Łódzki!E58</f>
        <v>-</v>
      </c>
      <c r="J57" s="119" t="str">
        <f>Małopolski!E58</f>
        <v>-</v>
      </c>
      <c r="K57" s="119" t="str">
        <f>Mazowiecki!E58</f>
        <v>-</v>
      </c>
      <c r="L57" s="119" t="str">
        <f>Opolski!E58</f>
        <v>-</v>
      </c>
      <c r="M57" s="119" t="str">
        <f>Podkarpacki!E58</f>
        <v>-</v>
      </c>
      <c r="N57" s="119" t="str">
        <f>Podlaski!E58</f>
        <v>-</v>
      </c>
      <c r="O57" s="119" t="str">
        <f>Pomorski!E58</f>
        <v>-</v>
      </c>
      <c r="P57" s="119" t="str">
        <f>Śląski!E58</f>
        <v>-</v>
      </c>
      <c r="Q57" s="119" t="str">
        <f>Świętokrzyski!E58</f>
        <v>-</v>
      </c>
      <c r="R57" s="119" t="str">
        <f>WarmińskoMazurski!E58</f>
        <v>-</v>
      </c>
      <c r="S57" s="119" t="str">
        <f>Wielkopolski!E58</f>
        <v>-</v>
      </c>
      <c r="T57" s="119" t="str">
        <f>Zachodniopomorski!E58</f>
        <v>-</v>
      </c>
    </row>
    <row r="58" spans="1:20" ht="22.5">
      <c r="A58" s="124" t="s">
        <v>29</v>
      </c>
      <c r="B58" s="122" t="s">
        <v>182</v>
      </c>
      <c r="C58" s="117" t="str">
        <f>CENTRALA!E59</f>
        <v>-</v>
      </c>
      <c r="D58" s="131">
        <f t="shared" si="1"/>
        <v>-63844</v>
      </c>
      <c r="E58" s="117">
        <f>Dolnośląski!E59</f>
        <v>-2909</v>
      </c>
      <c r="F58" s="117">
        <f>KujawskoPomorski!E59</f>
        <v>-12382</v>
      </c>
      <c r="G58" s="117">
        <f>Lubelski!E59</f>
        <v>-5</v>
      </c>
      <c r="H58" s="117">
        <f>Lubuski!E59</f>
        <v>-577</v>
      </c>
      <c r="I58" s="117">
        <f>Łódzki!E59</f>
        <v>-7390</v>
      </c>
      <c r="J58" s="117">
        <f>Małopolski!E59</f>
        <v>-1460</v>
      </c>
      <c r="K58" s="117">
        <f>Mazowiecki!E59</f>
        <v>-4758</v>
      </c>
      <c r="L58" s="117">
        <f>Opolski!E59</f>
        <v>-3987</v>
      </c>
      <c r="M58" s="117">
        <f>Podkarpacki!E59</f>
        <v>-8184</v>
      </c>
      <c r="N58" s="117">
        <f>Podlaski!E59</f>
        <v>-1362</v>
      </c>
      <c r="O58" s="117">
        <f>Pomorski!E59</f>
        <v>-9534</v>
      </c>
      <c r="P58" s="117" t="str">
        <f>Śląski!E59</f>
        <v>-</v>
      </c>
      <c r="Q58" s="117">
        <f>Świętokrzyski!E59</f>
        <v>-11500</v>
      </c>
      <c r="R58" s="117">
        <f>WarmińskoMazurski!E59</f>
        <v>6026</v>
      </c>
      <c r="S58" s="117">
        <f>Wielkopolski!E59</f>
        <v>-5126</v>
      </c>
      <c r="T58" s="117">
        <f>Zachodniopomorski!E59</f>
        <v>-696</v>
      </c>
    </row>
    <row r="59" spans="1:20" ht="42.75" customHeight="1">
      <c r="A59" s="31" t="s">
        <v>102</v>
      </c>
      <c r="B59" s="40" t="s">
        <v>124</v>
      </c>
      <c r="C59" s="119" t="str">
        <f>CENTRALA!E60</f>
        <v>-</v>
      </c>
      <c r="D59" s="118">
        <f t="shared" si="1"/>
        <v>-207</v>
      </c>
      <c r="E59" s="119" t="str">
        <f>Dolnośląski!E60</f>
        <v>-</v>
      </c>
      <c r="F59" s="119" t="str">
        <f>KujawskoPomorski!E60</f>
        <v>-</v>
      </c>
      <c r="G59" s="119">
        <f>Lubelski!E60</f>
        <v>-5</v>
      </c>
      <c r="H59" s="119" t="str">
        <f>Lubuski!E60</f>
        <v>-</v>
      </c>
      <c r="I59" s="119" t="str">
        <f>Łódzki!E60</f>
        <v>-</v>
      </c>
      <c r="J59" s="119" t="str">
        <f>Małopolski!E60</f>
        <v>-</v>
      </c>
      <c r="K59" s="119" t="str">
        <f>Mazowiecki!E60</f>
        <v>-</v>
      </c>
      <c r="L59" s="119">
        <f>Opolski!E60</f>
        <v>-10</v>
      </c>
      <c r="M59" s="119">
        <f>Podkarpacki!E60</f>
        <v>-10</v>
      </c>
      <c r="N59" s="119">
        <f>Podlaski!E60</f>
        <v>-2</v>
      </c>
      <c r="O59" s="119">
        <f>Pomorski!E60</f>
        <v>-34</v>
      </c>
      <c r="P59" s="119" t="str">
        <f>Śląski!E60</f>
        <v>-</v>
      </c>
      <c r="Q59" s="119" t="str">
        <f>Świętokrzyski!E60</f>
        <v>-</v>
      </c>
      <c r="R59" s="119">
        <f>WarmińskoMazurski!E60</f>
        <v>-96</v>
      </c>
      <c r="S59" s="119">
        <f>Wielkopolski!E60</f>
        <v>-50</v>
      </c>
      <c r="T59" s="119" t="str">
        <f>Zachodniopomorski!E60</f>
        <v>-</v>
      </c>
    </row>
    <row r="60" spans="1:20" ht="23.25">
      <c r="A60" s="31" t="s">
        <v>30</v>
      </c>
      <c r="B60" s="40" t="s">
        <v>56</v>
      </c>
      <c r="C60" s="119" t="str">
        <f>CENTRALA!E61</f>
        <v>-</v>
      </c>
      <c r="D60" s="118">
        <f t="shared" si="1"/>
        <v>-70975</v>
      </c>
      <c r="E60" s="119">
        <f>Dolnośląski!E61</f>
        <v>-7908</v>
      </c>
      <c r="F60" s="119">
        <f>KujawskoPomorski!E61</f>
        <v>-11206</v>
      </c>
      <c r="G60" s="119" t="str">
        <f>Lubelski!E61</f>
        <v>-</v>
      </c>
      <c r="H60" s="119">
        <f>Lubuski!E61</f>
        <v>-527</v>
      </c>
      <c r="I60" s="119">
        <f>Łódzki!E61</f>
        <v>-7330</v>
      </c>
      <c r="J60" s="119">
        <f>Małopolski!E61</f>
        <v>-5795</v>
      </c>
      <c r="K60" s="119">
        <f>Mazowiecki!E61</f>
        <v>-4757</v>
      </c>
      <c r="L60" s="119">
        <f>Opolski!E61</f>
        <v>-3774</v>
      </c>
      <c r="M60" s="119">
        <f>Podkarpacki!E61</f>
        <v>-8174</v>
      </c>
      <c r="N60" s="119">
        <f>Podlaski!E61</f>
        <v>-1290</v>
      </c>
      <c r="O60" s="119">
        <f>Pomorski!E61</f>
        <v>-9500</v>
      </c>
      <c r="P60" s="119" t="str">
        <f>Śląski!E61</f>
        <v>-</v>
      </c>
      <c r="Q60" s="119">
        <f>Świętokrzyski!E61</f>
        <v>-11000</v>
      </c>
      <c r="R60" s="119">
        <f>WarmińskoMazurski!E61</f>
        <v>5330</v>
      </c>
      <c r="S60" s="119">
        <f>Wielkopolski!E61</f>
        <v>-4376</v>
      </c>
      <c r="T60" s="119">
        <f>Zachodniopomorski!E61</f>
        <v>-668</v>
      </c>
    </row>
    <row r="61" spans="1:20" ht="23.25">
      <c r="A61" s="31" t="s">
        <v>31</v>
      </c>
      <c r="B61" s="40" t="s">
        <v>104</v>
      </c>
      <c r="C61" s="119" t="str">
        <f>CENTRALA!E62</f>
        <v>-</v>
      </c>
      <c r="D61" s="118">
        <f t="shared" si="1"/>
        <v>0</v>
      </c>
      <c r="E61" s="119" t="str">
        <f>Dolnośląski!E62</f>
        <v>-</v>
      </c>
      <c r="F61" s="119" t="str">
        <f>KujawskoPomorski!E62</f>
        <v>-</v>
      </c>
      <c r="G61" s="119" t="str">
        <f>Lubelski!E62</f>
        <v>-</v>
      </c>
      <c r="H61" s="119" t="str">
        <f>Lubuski!E62</f>
        <v>-</v>
      </c>
      <c r="I61" s="119" t="str">
        <f>Łódzki!E62</f>
        <v>-</v>
      </c>
      <c r="J61" s="119" t="str">
        <f>Małopolski!E62</f>
        <v>-</v>
      </c>
      <c r="K61" s="119" t="str">
        <f>Mazowiecki!E62</f>
        <v>-</v>
      </c>
      <c r="L61" s="119" t="str">
        <f>Opolski!E62</f>
        <v>-</v>
      </c>
      <c r="M61" s="119" t="str">
        <f>Podkarpacki!E62</f>
        <v>-</v>
      </c>
      <c r="N61" s="119" t="str">
        <f>Podlaski!E62</f>
        <v>-</v>
      </c>
      <c r="O61" s="119" t="str">
        <f>Pomorski!E62</f>
        <v>-</v>
      </c>
      <c r="P61" s="119" t="str">
        <f>Śląski!E62</f>
        <v>-</v>
      </c>
      <c r="Q61" s="119" t="str">
        <f>Świętokrzyski!E62</f>
        <v>-</v>
      </c>
      <c r="R61" s="119" t="str">
        <f>WarmińskoMazurski!E62</f>
        <v>-</v>
      </c>
      <c r="S61" s="119" t="str">
        <f>Wielkopolski!E62</f>
        <v>-</v>
      </c>
      <c r="T61" s="119" t="str">
        <f>Zachodniopomorski!E62</f>
        <v>-</v>
      </c>
    </row>
    <row r="62" spans="1:20" ht="23.25">
      <c r="A62" s="31" t="s">
        <v>103</v>
      </c>
      <c r="B62" s="40" t="s">
        <v>105</v>
      </c>
      <c r="C62" s="119" t="str">
        <f>CENTRALA!E63</f>
        <v>-</v>
      </c>
      <c r="D62" s="118">
        <f t="shared" si="1"/>
        <v>7338</v>
      </c>
      <c r="E62" s="119">
        <f>Dolnośląski!E63</f>
        <v>4999</v>
      </c>
      <c r="F62" s="119">
        <f>KujawskoPomorski!E63</f>
        <v>-1176</v>
      </c>
      <c r="G62" s="119" t="str">
        <f>Lubelski!E63</f>
        <v>-</v>
      </c>
      <c r="H62" s="119">
        <f>Lubuski!E63</f>
        <v>-50</v>
      </c>
      <c r="I62" s="119">
        <f>Łódzki!E63</f>
        <v>-60</v>
      </c>
      <c r="J62" s="119">
        <f>Małopolski!E63</f>
        <v>4335</v>
      </c>
      <c r="K62" s="119">
        <f>Mazowiecki!E63</f>
        <v>-1</v>
      </c>
      <c r="L62" s="119">
        <f>Opolski!E63</f>
        <v>-203</v>
      </c>
      <c r="M62" s="119" t="str">
        <f>Podkarpacki!E63</f>
        <v>-</v>
      </c>
      <c r="N62" s="119">
        <f>Podlaski!E63</f>
        <v>-70</v>
      </c>
      <c r="O62" s="119" t="str">
        <f>Pomorski!E63</f>
        <v>-</v>
      </c>
      <c r="P62" s="119" t="str">
        <f>Śląski!E63</f>
        <v>-</v>
      </c>
      <c r="Q62" s="119">
        <f>Świętokrzyski!E63</f>
        <v>-500</v>
      </c>
      <c r="R62" s="119">
        <f>WarmińskoMazurski!E63</f>
        <v>792</v>
      </c>
      <c r="S62" s="119">
        <f>Wielkopolski!E63</f>
        <v>-700</v>
      </c>
      <c r="T62" s="119">
        <f>Zachodniopomorski!E63</f>
        <v>-28</v>
      </c>
    </row>
    <row r="63" spans="1:20" ht="22.5">
      <c r="A63" s="124" t="s">
        <v>110</v>
      </c>
      <c r="B63" s="122" t="s">
        <v>129</v>
      </c>
      <c r="C63" s="117" t="str">
        <f>CENTRALA!E64</f>
        <v>-</v>
      </c>
      <c r="D63" s="123">
        <f>SUM(E63:T63)</f>
        <v>-2620</v>
      </c>
      <c r="E63" s="117">
        <f>Dolnośląski!E64</f>
        <v>1311</v>
      </c>
      <c r="F63" s="117">
        <f>KujawskoPomorski!E64</f>
        <v>-17599</v>
      </c>
      <c r="G63" s="117" t="str">
        <f>Lubelski!E64</f>
        <v>-</v>
      </c>
      <c r="H63" s="117">
        <f>Lubuski!E64</f>
        <v>700</v>
      </c>
      <c r="I63" s="117">
        <f>Łódzki!E64</f>
        <v>-1050</v>
      </c>
      <c r="J63" s="117">
        <f>Małopolski!E64</f>
        <v>5600</v>
      </c>
      <c r="K63" s="117">
        <f>Mazowiecki!E64</f>
        <v>16464</v>
      </c>
      <c r="L63" s="117">
        <f>Opolski!E64</f>
        <v>-1065</v>
      </c>
      <c r="M63" s="117">
        <f>Podkarpacki!E64</f>
        <v>-3754</v>
      </c>
      <c r="N63" s="117">
        <f>Podlaski!E64</f>
        <v>-307</v>
      </c>
      <c r="O63" s="117">
        <f>Pomorski!E64</f>
        <v>-3562</v>
      </c>
      <c r="P63" s="117" t="str">
        <f>Śląski!E64</f>
        <v>-</v>
      </c>
      <c r="Q63" s="117" t="str">
        <f>Świętokrzyski!E64</f>
        <v>-</v>
      </c>
      <c r="R63" s="117">
        <f>WarmińskoMazurski!E64</f>
        <v>488</v>
      </c>
      <c r="S63" s="117">
        <f>Wielkopolski!E64</f>
        <v>332</v>
      </c>
      <c r="T63" s="117">
        <f>Zachodniopomorski!E64</f>
        <v>-178</v>
      </c>
    </row>
    <row r="69" spans="7:20" ht="42.75" customHeight="1">
      <c r="G69" s="146"/>
      <c r="O69" s="126"/>
      <c r="P69" s="126"/>
      <c r="Q69" s="126"/>
      <c r="R69" s="126"/>
      <c r="S69" s="126"/>
      <c r="T69" s="126"/>
    </row>
    <row r="70" spans="7:18" ht="23.25">
      <c r="G70" s="147"/>
      <c r="P70" s="126"/>
      <c r="Q70" s="126"/>
      <c r="R70" s="126"/>
    </row>
    <row r="71" spans="7:18" ht="23.25">
      <c r="G71" s="146"/>
      <c r="P71" s="126"/>
      <c r="Q71" s="126"/>
      <c r="R71" s="126"/>
    </row>
    <row r="72" spans="7:18" ht="23.25">
      <c r="G72" s="146"/>
      <c r="P72" s="126"/>
      <c r="Q72" s="126"/>
      <c r="R72" s="126"/>
    </row>
    <row r="73" spans="7:19" ht="23.25">
      <c r="G73" s="146"/>
      <c r="P73" s="126"/>
      <c r="Q73" s="126"/>
      <c r="R73" s="126"/>
      <c r="S73" s="126"/>
    </row>
    <row r="74" spans="7:18" ht="23.25">
      <c r="G74" s="146"/>
      <c r="P74" s="126"/>
      <c r="Q74" s="126"/>
      <c r="R74" s="126"/>
    </row>
    <row r="75" spans="7:18" ht="23.25">
      <c r="G75" s="146"/>
      <c r="P75" s="126"/>
      <c r="Q75" s="126"/>
      <c r="R75" s="126"/>
    </row>
    <row r="76" spans="7:18" ht="23.25">
      <c r="G76" s="146"/>
      <c r="P76" s="126"/>
      <c r="Q76" s="126"/>
      <c r="R76" s="126"/>
    </row>
    <row r="77" spans="7:18" ht="23.25">
      <c r="G77" s="146"/>
      <c r="P77" s="126"/>
      <c r="Q77" s="126"/>
      <c r="R77" s="126"/>
    </row>
    <row r="78" spans="7:18" ht="23.25">
      <c r="G78" s="146"/>
      <c r="P78" s="126"/>
      <c r="Q78" s="126"/>
      <c r="R78" s="126"/>
    </row>
    <row r="79" spans="7:18" ht="23.25">
      <c r="G79" s="146"/>
      <c r="P79" s="126"/>
      <c r="Q79" s="126"/>
      <c r="R79" s="126"/>
    </row>
    <row r="80" spans="7:18" ht="23.25">
      <c r="G80" s="146"/>
      <c r="P80" s="126"/>
      <c r="Q80" s="126"/>
      <c r="R80" s="126"/>
    </row>
    <row r="81" spans="16:18" ht="23.25">
      <c r="P81" s="126"/>
      <c r="Q81" s="126"/>
      <c r="R81" s="126"/>
    </row>
    <row r="82" spans="16:18" ht="23.25">
      <c r="P82" s="126"/>
      <c r="Q82" s="126"/>
      <c r="R82" s="126"/>
    </row>
    <row r="83" spans="16:18" ht="23.25">
      <c r="P83" s="126"/>
      <c r="Q83" s="126"/>
      <c r="R83" s="126"/>
    </row>
    <row r="84" spans="16:18" ht="23.25">
      <c r="P84" s="126"/>
      <c r="Q84" s="126"/>
      <c r="R84" s="126"/>
    </row>
    <row r="85" spans="16:18" ht="23.25">
      <c r="P85" s="126"/>
      <c r="Q85" s="126"/>
      <c r="R85" s="126"/>
    </row>
    <row r="86" spans="16:18" ht="23.25">
      <c r="P86" s="126"/>
      <c r="Q86" s="126"/>
      <c r="R86" s="126"/>
    </row>
  </sheetData>
  <sheetProtection/>
  <mergeCells count="1">
    <mergeCell ref="A2:T2"/>
  </mergeCells>
  <printOptions/>
  <pageMargins left="0.7086614173228347" right="0.7086614173228347" top="0.35433070866141736" bottom="0.35433070866141736" header="0.31496062992125984" footer="0.31496062992125984"/>
  <pageSetup fitToHeight="1" fitToWidth="1" horizontalDpi="600" verticalDpi="600" orientation="landscape" paperSize="9" scale="37" r:id="rId1"/>
  <ignoredErrors>
    <ignoredError sqref="D7:D32" unlockedFormula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U85"/>
  <sheetViews>
    <sheetView showGridLines="0" view="pageBreakPreview" zoomScale="60" zoomScaleNormal="55" zoomScalePageLayoutView="0" workbookViewId="0" topLeftCell="A1">
      <pane xSplit="2" ySplit="6" topLeftCell="C14" activePane="bottomRight" state="frozen"/>
      <selection pane="topLeft" activeCell="U16" sqref="U16"/>
      <selection pane="topRight" activeCell="U16" sqref="U16"/>
      <selection pane="bottomLeft" activeCell="U16" sqref="U16"/>
      <selection pane="bottomRight" activeCell="U16" sqref="U16"/>
    </sheetView>
  </sheetViews>
  <sheetFormatPr defaultColWidth="9.00390625" defaultRowHeight="12.75"/>
  <cols>
    <col min="1" max="1" width="12.375" style="0" customWidth="1"/>
    <col min="2" max="2" width="111.625" style="0" customWidth="1"/>
    <col min="3" max="3" width="24.00390625" style="0" customWidth="1"/>
    <col min="4" max="4" width="17.00390625" style="0" customWidth="1"/>
    <col min="5" max="5" width="18.75390625" style="132" customWidth="1"/>
    <col min="6" max="21" width="17.00390625" style="0" customWidth="1"/>
  </cols>
  <sheetData>
    <row r="1" spans="1:21" ht="23.25">
      <c r="A1" s="108"/>
      <c r="B1" s="108"/>
      <c r="C1" s="108"/>
      <c r="D1" s="108"/>
      <c r="E1" s="127"/>
      <c r="F1" s="108"/>
      <c r="G1" s="108"/>
      <c r="H1" s="108"/>
      <c r="I1" s="108"/>
      <c r="J1" s="108"/>
      <c r="K1" s="108"/>
      <c r="L1" s="108"/>
      <c r="M1" s="48"/>
      <c r="N1" s="48"/>
      <c r="O1" s="48"/>
      <c r="P1" s="48"/>
      <c r="Q1" s="48"/>
      <c r="R1" s="48"/>
      <c r="S1" s="48" t="s">
        <v>194</v>
      </c>
      <c r="T1" s="48"/>
      <c r="U1" s="48"/>
    </row>
    <row r="2" spans="1:21" ht="39.75" customHeight="1">
      <c r="A2" s="135" t="s">
        <v>238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</row>
    <row r="3" spans="1:21" ht="24.75">
      <c r="A3" s="1"/>
      <c r="B3" s="76"/>
      <c r="C3" s="76"/>
      <c r="D3" s="109"/>
      <c r="E3" s="128"/>
      <c r="F3" s="109"/>
      <c r="G3" s="10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110"/>
      <c r="U3" s="110" t="s">
        <v>195</v>
      </c>
    </row>
    <row r="4" spans="1:21" ht="144.75">
      <c r="A4" s="111" t="s">
        <v>132</v>
      </c>
      <c r="B4" s="111" t="s">
        <v>55</v>
      </c>
      <c r="C4" s="134" t="s">
        <v>237</v>
      </c>
      <c r="D4" s="112" t="s">
        <v>196</v>
      </c>
      <c r="E4" s="129" t="s">
        <v>197</v>
      </c>
      <c r="F4" s="112" t="s">
        <v>198</v>
      </c>
      <c r="G4" s="112" t="s">
        <v>199</v>
      </c>
      <c r="H4" s="113" t="s">
        <v>200</v>
      </c>
      <c r="I4" s="112" t="s">
        <v>201</v>
      </c>
      <c r="J4" s="112" t="s">
        <v>202</v>
      </c>
      <c r="K4" s="112" t="s">
        <v>203</v>
      </c>
      <c r="L4" s="112" t="s">
        <v>204</v>
      </c>
      <c r="M4" s="112" t="s">
        <v>205</v>
      </c>
      <c r="N4" s="112" t="s">
        <v>206</v>
      </c>
      <c r="O4" s="112" t="s">
        <v>207</v>
      </c>
      <c r="P4" s="112" t="s">
        <v>208</v>
      </c>
      <c r="Q4" s="112" t="s">
        <v>209</v>
      </c>
      <c r="R4" s="112" t="s">
        <v>210</v>
      </c>
      <c r="S4" s="112" t="s">
        <v>211</v>
      </c>
      <c r="T4" s="112" t="s">
        <v>212</v>
      </c>
      <c r="U4" s="112" t="s">
        <v>213</v>
      </c>
    </row>
    <row r="5" spans="1:21" ht="12.75">
      <c r="A5" s="114" t="s">
        <v>214</v>
      </c>
      <c r="B5" s="114" t="s">
        <v>215</v>
      </c>
      <c r="C5" s="114"/>
      <c r="D5" s="114" t="s">
        <v>216</v>
      </c>
      <c r="E5" s="130" t="s">
        <v>217</v>
      </c>
      <c r="F5" s="114" t="s">
        <v>218</v>
      </c>
      <c r="G5" s="114" t="s">
        <v>219</v>
      </c>
      <c r="H5" s="114" t="s">
        <v>220</v>
      </c>
      <c r="I5" s="114" t="s">
        <v>221</v>
      </c>
      <c r="J5" s="114" t="s">
        <v>222</v>
      </c>
      <c r="K5" s="114" t="s">
        <v>223</v>
      </c>
      <c r="L5" s="114" t="s">
        <v>224</v>
      </c>
      <c r="M5" s="114" t="s">
        <v>225</v>
      </c>
      <c r="N5" s="114" t="s">
        <v>226</v>
      </c>
      <c r="O5" s="114" t="s">
        <v>227</v>
      </c>
      <c r="P5" s="114" t="s">
        <v>228</v>
      </c>
      <c r="Q5" s="114" t="s">
        <v>229</v>
      </c>
      <c r="R5" s="114" t="s">
        <v>230</v>
      </c>
      <c r="S5" s="114" t="s">
        <v>231</v>
      </c>
      <c r="T5" s="114" t="s">
        <v>232</v>
      </c>
      <c r="U5" s="114" t="s">
        <v>233</v>
      </c>
    </row>
    <row r="6" spans="1:21" ht="22.5">
      <c r="A6" s="115" t="s">
        <v>0</v>
      </c>
      <c r="B6" s="116" t="s">
        <v>234</v>
      </c>
      <c r="C6" s="117">
        <f>D6+E6</f>
        <v>64517195</v>
      </c>
      <c r="D6" s="117">
        <f>CENTRALA!D7</f>
        <v>724263</v>
      </c>
      <c r="E6" s="117">
        <f>E7+E8+E9+E14+E15+E16+E17+E18+E19+E20+E21+E22+E23+E24+E28+E29+E31+E32</f>
        <v>63792932</v>
      </c>
      <c r="F6" s="117">
        <f>Dolnośląski!D7</f>
        <v>4845795</v>
      </c>
      <c r="G6" s="117">
        <f>KujawskoPomorski!D7</f>
        <v>3471200</v>
      </c>
      <c r="H6" s="117">
        <f>Lubelski!D7</f>
        <v>3604062</v>
      </c>
      <c r="I6" s="117">
        <f>Lubuski!D7</f>
        <v>1688938</v>
      </c>
      <c r="J6" s="117">
        <f>Łódzki!D7</f>
        <v>4326729</v>
      </c>
      <c r="K6" s="117">
        <f>Małopolski!D7</f>
        <v>5391915</v>
      </c>
      <c r="L6" s="117">
        <f>Mazowiecki!D7</f>
        <v>9186938</v>
      </c>
      <c r="M6" s="117">
        <f>Opolski!D7</f>
        <v>1610833</v>
      </c>
      <c r="N6" s="117">
        <f>Podkarpacki!D7</f>
        <v>3383854</v>
      </c>
      <c r="O6" s="117">
        <f>Podlaski!D7</f>
        <v>1949083</v>
      </c>
      <c r="P6" s="117">
        <f>Pomorski!D7</f>
        <v>3687794</v>
      </c>
      <c r="Q6" s="117">
        <f>Śląski!D7</f>
        <v>7721183</v>
      </c>
      <c r="R6" s="117">
        <f>Świętokrzyski!D7</f>
        <v>2165591</v>
      </c>
      <c r="S6" s="117">
        <f>WarmińskoMazurski!D7</f>
        <v>2289616</v>
      </c>
      <c r="T6" s="117">
        <f>Wielkopolski!D7</f>
        <v>5629742</v>
      </c>
      <c r="U6" s="117">
        <f>Zachodniopomorski!D7</f>
        <v>2839659</v>
      </c>
    </row>
    <row r="7" spans="1:21" ht="27.75" customHeight="1">
      <c r="A7" s="29" t="s">
        <v>1</v>
      </c>
      <c r="B7" s="78" t="s">
        <v>133</v>
      </c>
      <c r="C7" s="118">
        <f aca="true" t="shared" si="0" ref="C7:C62">D7+E7</f>
        <v>7727318</v>
      </c>
      <c r="D7" s="119">
        <f>CENTRALA!D8</f>
        <v>0</v>
      </c>
      <c r="E7" s="118">
        <f>SUM(F7:U7)</f>
        <v>7727318</v>
      </c>
      <c r="F7" s="119">
        <f>Dolnośląski!D8</f>
        <v>580515</v>
      </c>
      <c r="G7" s="119">
        <f>KujawskoPomorski!D8</f>
        <v>422358</v>
      </c>
      <c r="H7" s="119">
        <f>Lubelski!D8</f>
        <v>447000</v>
      </c>
      <c r="I7" s="119">
        <f>Lubuski!D8</f>
        <v>208150</v>
      </c>
      <c r="J7" s="119">
        <f>Łódzki!D8</f>
        <v>517799</v>
      </c>
      <c r="K7" s="119">
        <f>Małopolski!D8</f>
        <v>664580</v>
      </c>
      <c r="L7" s="119">
        <f>Mazowiecki!D8</f>
        <v>1089175</v>
      </c>
      <c r="M7" s="119">
        <f>Opolski!D8</f>
        <v>188231</v>
      </c>
      <c r="N7" s="119">
        <f>Podkarpacki!D8</f>
        <v>419363</v>
      </c>
      <c r="O7" s="119">
        <f>Podlaski!D8</f>
        <v>230700</v>
      </c>
      <c r="P7" s="119">
        <f>Pomorski!D8</f>
        <v>455700</v>
      </c>
      <c r="Q7" s="119">
        <f>Śląski!D8</f>
        <v>913414</v>
      </c>
      <c r="R7" s="119">
        <f>Świętokrzyski!D8</f>
        <v>244792</v>
      </c>
      <c r="S7" s="119">
        <f>WarmińskoMazurski!D8</f>
        <v>281220</v>
      </c>
      <c r="T7" s="119">
        <f>Wielkopolski!D8</f>
        <v>722500</v>
      </c>
      <c r="U7" s="119">
        <f>Zachodniopomorski!D8</f>
        <v>341821</v>
      </c>
    </row>
    <row r="8" spans="1:21" ht="27.75" customHeight="1">
      <c r="A8" s="29" t="s">
        <v>2</v>
      </c>
      <c r="B8" s="78" t="s">
        <v>134</v>
      </c>
      <c r="C8" s="118">
        <f t="shared" si="0"/>
        <v>5540596</v>
      </c>
      <c r="D8" s="119">
        <f>CENTRALA!D9</f>
        <v>0</v>
      </c>
      <c r="E8" s="118">
        <f aca="true" t="shared" si="1" ref="E8:E62">SUM(F8:U8)</f>
        <v>5540596</v>
      </c>
      <c r="F8" s="119">
        <f>Dolnośląski!D9</f>
        <v>419190</v>
      </c>
      <c r="G8" s="119">
        <f>KujawskoPomorski!D9</f>
        <v>279950</v>
      </c>
      <c r="H8" s="119">
        <f>Lubelski!D9</f>
        <v>289698</v>
      </c>
      <c r="I8" s="119">
        <f>Lubuski!D9</f>
        <v>159286</v>
      </c>
      <c r="J8" s="119">
        <f>Łódzki!D9</f>
        <v>329435</v>
      </c>
      <c r="K8" s="119">
        <f>Małopolski!D9</f>
        <v>473605</v>
      </c>
      <c r="L8" s="119">
        <f>Mazowiecki!D9</f>
        <v>774865</v>
      </c>
      <c r="M8" s="119">
        <f>Opolski!D9</f>
        <v>134816</v>
      </c>
      <c r="N8" s="119">
        <f>Podkarpacki!D9</f>
        <v>288991</v>
      </c>
      <c r="O8" s="119">
        <f>Podlaski!D9</f>
        <v>193070</v>
      </c>
      <c r="P8" s="119">
        <f>Pomorski!D9</f>
        <v>344189</v>
      </c>
      <c r="Q8" s="119">
        <f>Śląski!D9</f>
        <v>752508</v>
      </c>
      <c r="R8" s="119">
        <f>Świętokrzyski!D9</f>
        <v>166903</v>
      </c>
      <c r="S8" s="119">
        <f>WarmińskoMazurski!D9</f>
        <v>203053</v>
      </c>
      <c r="T8" s="119">
        <f>Wielkopolski!D9</f>
        <v>481532</v>
      </c>
      <c r="U8" s="119">
        <f>Zachodniopomorski!D9</f>
        <v>249505</v>
      </c>
    </row>
    <row r="9" spans="1:21" ht="27.75" customHeight="1">
      <c r="A9" s="29" t="s">
        <v>3</v>
      </c>
      <c r="B9" s="78" t="s">
        <v>131</v>
      </c>
      <c r="C9" s="118">
        <f t="shared" si="0"/>
        <v>31101102</v>
      </c>
      <c r="D9" s="119">
        <f>CENTRALA!D10</f>
        <v>0</v>
      </c>
      <c r="E9" s="118">
        <f t="shared" si="1"/>
        <v>31101102</v>
      </c>
      <c r="F9" s="119">
        <f>Dolnośląski!D10</f>
        <v>2343664</v>
      </c>
      <c r="G9" s="119">
        <f>KujawskoPomorski!D10</f>
        <v>1745229</v>
      </c>
      <c r="H9" s="119">
        <f>Lubelski!D10</f>
        <v>1769542</v>
      </c>
      <c r="I9" s="119">
        <f>Lubuski!D10</f>
        <v>816640</v>
      </c>
      <c r="J9" s="119">
        <f>Łódzki!D10</f>
        <v>2126385</v>
      </c>
      <c r="K9" s="119">
        <f>Małopolski!D10</f>
        <v>2616151</v>
      </c>
      <c r="L9" s="119">
        <f>Mazowiecki!D10</f>
        <v>4588228</v>
      </c>
      <c r="M9" s="119">
        <f>Opolski!D10</f>
        <v>790473</v>
      </c>
      <c r="N9" s="119">
        <f>Podkarpacki!D10</f>
        <v>1619868</v>
      </c>
      <c r="O9" s="119">
        <f>Podlaski!D10</f>
        <v>956940</v>
      </c>
      <c r="P9" s="119">
        <f>Pomorski!D10</f>
        <v>1743173</v>
      </c>
      <c r="Q9" s="119">
        <f>Śląski!D10</f>
        <v>3626213</v>
      </c>
      <c r="R9" s="119">
        <f>Świętokrzyski!D10</f>
        <v>1104693</v>
      </c>
      <c r="S9" s="119">
        <f>WarmińskoMazurski!D10</f>
        <v>1108769</v>
      </c>
      <c r="T9" s="119">
        <f>Wielkopolski!D10</f>
        <v>2731953</v>
      </c>
      <c r="U9" s="119">
        <f>Zachodniopomorski!D10</f>
        <v>1413181</v>
      </c>
    </row>
    <row r="10" spans="1:21" ht="24.75" customHeight="1">
      <c r="A10" s="79" t="s">
        <v>57</v>
      </c>
      <c r="B10" s="89" t="s">
        <v>160</v>
      </c>
      <c r="C10" s="118">
        <f t="shared" si="0"/>
        <v>2641319</v>
      </c>
      <c r="D10" s="119">
        <f>CENTRALA!D11</f>
        <v>0</v>
      </c>
      <c r="E10" s="118">
        <f t="shared" si="1"/>
        <v>2641319</v>
      </c>
      <c r="F10" s="119">
        <f>Dolnośląski!D11</f>
        <v>207837</v>
      </c>
      <c r="G10" s="119">
        <f>KujawskoPomorski!D11</f>
        <v>149322</v>
      </c>
      <c r="H10" s="119">
        <f>Lubelski!D11</f>
        <v>135559</v>
      </c>
      <c r="I10" s="119">
        <f>Lubuski!D11</f>
        <v>60221</v>
      </c>
      <c r="J10" s="119">
        <f>Łódzki!D11</f>
        <v>183106</v>
      </c>
      <c r="K10" s="119">
        <f>Małopolski!D11</f>
        <v>257760</v>
      </c>
      <c r="L10" s="119">
        <f>Mazowiecki!D11</f>
        <v>408474</v>
      </c>
      <c r="M10" s="119">
        <f>Opolski!D11</f>
        <v>59413</v>
      </c>
      <c r="N10" s="119">
        <f>Podkarpacki!D11</f>
        <v>146665</v>
      </c>
      <c r="O10" s="119">
        <f>Podlaski!D11</f>
        <v>77312</v>
      </c>
      <c r="P10" s="119">
        <f>Pomorski!D11</f>
        <v>130278</v>
      </c>
      <c r="Q10" s="119">
        <f>Śląski!D11</f>
        <v>326031</v>
      </c>
      <c r="R10" s="119">
        <f>Świętokrzyski!D11</f>
        <v>85852</v>
      </c>
      <c r="S10" s="119">
        <f>WarmińskoMazurski!D11</f>
        <v>89149</v>
      </c>
      <c r="T10" s="119">
        <f>Wielkopolski!D11</f>
        <v>223240</v>
      </c>
      <c r="U10" s="119">
        <f>Zachodniopomorski!D11</f>
        <v>101100</v>
      </c>
    </row>
    <row r="11" spans="1:21" ht="24.75" customHeight="1">
      <c r="A11" s="79" t="s">
        <v>161</v>
      </c>
      <c r="B11" s="89" t="s">
        <v>164</v>
      </c>
      <c r="C11" s="118">
        <f t="shared" si="0"/>
        <v>2417446</v>
      </c>
      <c r="D11" s="119">
        <f>CENTRALA!D12</f>
        <v>0</v>
      </c>
      <c r="E11" s="118">
        <f t="shared" si="1"/>
        <v>2417446</v>
      </c>
      <c r="F11" s="119">
        <f>Dolnośląski!D12</f>
        <v>192654</v>
      </c>
      <c r="G11" s="119">
        <f>KujawskoPomorski!D12</f>
        <v>136709</v>
      </c>
      <c r="H11" s="119">
        <f>Lubelski!D12</f>
        <v>123478</v>
      </c>
      <c r="I11" s="119">
        <f>Lubuski!D12</f>
        <v>54502</v>
      </c>
      <c r="J11" s="119">
        <f>Łódzki!D12</f>
        <v>167944</v>
      </c>
      <c r="K11" s="119">
        <f>Małopolski!D12</f>
        <v>239272</v>
      </c>
      <c r="L11" s="119">
        <f>Mazowiecki!D12</f>
        <v>372374</v>
      </c>
      <c r="M11" s="119">
        <f>Opolski!D12</f>
        <v>54509</v>
      </c>
      <c r="N11" s="119">
        <f>Podkarpacki!D12</f>
        <v>128505</v>
      </c>
      <c r="O11" s="119">
        <f>Podlaski!D12</f>
        <v>72536</v>
      </c>
      <c r="P11" s="119">
        <f>Pomorski!D12</f>
        <v>118856</v>
      </c>
      <c r="Q11" s="119">
        <f>Śląski!D12</f>
        <v>298338</v>
      </c>
      <c r="R11" s="119">
        <f>Świętokrzyski!D12</f>
        <v>75591</v>
      </c>
      <c r="S11" s="119">
        <f>WarmińskoMazurski!D12</f>
        <v>83209</v>
      </c>
      <c r="T11" s="119">
        <f>Wielkopolski!D12</f>
        <v>206869</v>
      </c>
      <c r="U11" s="119">
        <f>Zachodniopomorski!D12</f>
        <v>92100</v>
      </c>
    </row>
    <row r="12" spans="1:21" ht="24.75" customHeight="1">
      <c r="A12" s="79" t="s">
        <v>162</v>
      </c>
      <c r="B12" s="89" t="s">
        <v>165</v>
      </c>
      <c r="C12" s="118">
        <f t="shared" si="0"/>
        <v>1349137</v>
      </c>
      <c r="D12" s="119">
        <f>CENTRALA!D13</f>
        <v>0</v>
      </c>
      <c r="E12" s="118">
        <f t="shared" si="1"/>
        <v>1349137</v>
      </c>
      <c r="F12" s="119">
        <f>Dolnośląski!D13</f>
        <v>108496</v>
      </c>
      <c r="G12" s="119">
        <f>KujawskoPomorski!D13</f>
        <v>77303</v>
      </c>
      <c r="H12" s="119">
        <f>Lubelski!D13</f>
        <v>79444</v>
      </c>
      <c r="I12" s="119">
        <f>Lubuski!D13</f>
        <v>38580</v>
      </c>
      <c r="J12" s="119">
        <f>Łódzki!D13</f>
        <v>79678</v>
      </c>
      <c r="K12" s="119">
        <f>Małopolski!D13</f>
        <v>97367</v>
      </c>
      <c r="L12" s="119">
        <f>Mazowiecki!D13</f>
        <v>219545</v>
      </c>
      <c r="M12" s="119">
        <f>Opolski!D13</f>
        <v>30283</v>
      </c>
      <c r="N12" s="119">
        <f>Podkarpacki!D13</f>
        <v>68893</v>
      </c>
      <c r="O12" s="119">
        <f>Podlaski!D13</f>
        <v>44521</v>
      </c>
      <c r="P12" s="119">
        <f>Pomorski!D13</f>
        <v>75739</v>
      </c>
      <c r="Q12" s="119">
        <f>Śląski!D13</f>
        <v>162923</v>
      </c>
      <c r="R12" s="119">
        <f>Świętokrzyski!D13</f>
        <v>53221</v>
      </c>
      <c r="S12" s="119">
        <f>WarmińskoMazurski!D13</f>
        <v>45367</v>
      </c>
      <c r="T12" s="119">
        <f>Wielkopolski!D13</f>
        <v>112777</v>
      </c>
      <c r="U12" s="119">
        <f>Zachodniopomorski!D13</f>
        <v>55000</v>
      </c>
    </row>
    <row r="13" spans="1:21" ht="24.75" customHeight="1">
      <c r="A13" s="79" t="s">
        <v>163</v>
      </c>
      <c r="B13" s="89" t="s">
        <v>166</v>
      </c>
      <c r="C13" s="118">
        <f t="shared" si="0"/>
        <v>544741</v>
      </c>
      <c r="D13" s="119">
        <f>CENTRALA!D14</f>
        <v>0</v>
      </c>
      <c r="E13" s="118">
        <f t="shared" si="1"/>
        <v>544741</v>
      </c>
      <c r="F13" s="119">
        <f>Dolnośląski!D14</f>
        <v>43319</v>
      </c>
      <c r="G13" s="119">
        <f>KujawskoPomorski!D14</f>
        <v>37194</v>
      </c>
      <c r="H13" s="119">
        <f>Lubelski!D14</f>
        <v>31219</v>
      </c>
      <c r="I13" s="119">
        <f>Lubuski!D14</f>
        <v>11501</v>
      </c>
      <c r="J13" s="119">
        <f>Łódzki!D14</f>
        <v>30260</v>
      </c>
      <c r="K13" s="119">
        <f>Małopolski!D14</f>
        <v>45665</v>
      </c>
      <c r="L13" s="119">
        <f>Mazowiecki!D14</f>
        <v>77973</v>
      </c>
      <c r="M13" s="119">
        <f>Opolski!D14</f>
        <v>10849</v>
      </c>
      <c r="N13" s="119">
        <f>Podkarpacki!D14</f>
        <v>25977</v>
      </c>
      <c r="O13" s="119">
        <f>Podlaski!D14</f>
        <v>19076</v>
      </c>
      <c r="P13" s="119">
        <f>Pomorski!D14</f>
        <v>36262</v>
      </c>
      <c r="Q13" s="119">
        <f>Śląski!D14</f>
        <v>63977</v>
      </c>
      <c r="R13" s="119">
        <f>Świętokrzyski!D14</f>
        <v>21061</v>
      </c>
      <c r="S13" s="119">
        <f>WarmińskoMazurski!D14</f>
        <v>20754</v>
      </c>
      <c r="T13" s="119">
        <f>Wielkopolski!D14</f>
        <v>46654</v>
      </c>
      <c r="U13" s="119">
        <f>Zachodniopomorski!D14</f>
        <v>23000</v>
      </c>
    </row>
    <row r="14" spans="1:21" ht="27.75" customHeight="1">
      <c r="A14" s="29" t="s">
        <v>4</v>
      </c>
      <c r="B14" s="78" t="s">
        <v>139</v>
      </c>
      <c r="C14" s="118">
        <f t="shared" si="0"/>
        <v>2332816</v>
      </c>
      <c r="D14" s="119">
        <f>CENTRALA!D15</f>
        <v>0</v>
      </c>
      <c r="E14" s="118">
        <f t="shared" si="1"/>
        <v>2332816</v>
      </c>
      <c r="F14" s="119">
        <f>Dolnośląski!D15</f>
        <v>183918</v>
      </c>
      <c r="G14" s="119">
        <f>KujawskoPomorski!D15</f>
        <v>116758</v>
      </c>
      <c r="H14" s="119">
        <f>Lubelski!D15</f>
        <v>130267</v>
      </c>
      <c r="I14" s="119">
        <f>Lubuski!D15</f>
        <v>85984</v>
      </c>
      <c r="J14" s="119">
        <f>Łódzki!D15</f>
        <v>155830</v>
      </c>
      <c r="K14" s="119">
        <f>Małopolski!D15</f>
        <v>167372</v>
      </c>
      <c r="L14" s="119">
        <f>Mazowiecki!D15</f>
        <v>361811</v>
      </c>
      <c r="M14" s="119">
        <f>Opolski!D15</f>
        <v>62546</v>
      </c>
      <c r="N14" s="119">
        <f>Podkarpacki!D15</f>
        <v>110869</v>
      </c>
      <c r="O14" s="119">
        <f>Podlaski!D15</f>
        <v>82077</v>
      </c>
      <c r="P14" s="119">
        <f>Pomorski!D15</f>
        <v>139438</v>
      </c>
      <c r="Q14" s="119">
        <f>Śląski!D15</f>
        <v>285885</v>
      </c>
      <c r="R14" s="119">
        <f>Świętokrzyski!D15</f>
        <v>68714</v>
      </c>
      <c r="S14" s="119">
        <f>WarmińskoMazurski!D15</f>
        <v>87781</v>
      </c>
      <c r="T14" s="119">
        <f>Wielkopolski!D15</f>
        <v>200361</v>
      </c>
      <c r="U14" s="119">
        <f>Zachodniopomorski!D15</f>
        <v>93205</v>
      </c>
    </row>
    <row r="15" spans="1:21" ht="27.75" customHeight="1">
      <c r="A15" s="29" t="s">
        <v>5</v>
      </c>
      <c r="B15" s="78" t="s">
        <v>135</v>
      </c>
      <c r="C15" s="118">
        <f t="shared" si="0"/>
        <v>2096300</v>
      </c>
      <c r="D15" s="119">
        <f>CENTRALA!D16</f>
        <v>0</v>
      </c>
      <c r="E15" s="118">
        <f t="shared" si="1"/>
        <v>2096300</v>
      </c>
      <c r="F15" s="119">
        <f>Dolnośląski!D16</f>
        <v>159755</v>
      </c>
      <c r="G15" s="119">
        <f>KujawskoPomorski!D16</f>
        <v>87616</v>
      </c>
      <c r="H15" s="119">
        <f>Lubelski!D16</f>
        <v>110548</v>
      </c>
      <c r="I15" s="119">
        <f>Lubuski!D16</f>
        <v>52539</v>
      </c>
      <c r="J15" s="119">
        <f>Łódzki!D16</f>
        <v>125267</v>
      </c>
      <c r="K15" s="119">
        <f>Małopolski!D16</f>
        <v>180495</v>
      </c>
      <c r="L15" s="119">
        <f>Mazowiecki!D16</f>
        <v>396281</v>
      </c>
      <c r="M15" s="119">
        <f>Opolski!D16</f>
        <v>54180</v>
      </c>
      <c r="N15" s="119">
        <f>Podkarpacki!D16</f>
        <v>138560</v>
      </c>
      <c r="O15" s="119">
        <f>Podlaski!D16</f>
        <v>57129</v>
      </c>
      <c r="P15" s="119">
        <f>Pomorski!D16</f>
        <v>113956</v>
      </c>
      <c r="Q15" s="119">
        <f>Śląski!D16</f>
        <v>240819</v>
      </c>
      <c r="R15" s="119">
        <f>Świętokrzyski!D16</f>
        <v>70577</v>
      </c>
      <c r="S15" s="119">
        <f>WarmińskoMazurski!D16</f>
        <v>71568</v>
      </c>
      <c r="T15" s="119">
        <f>Wielkopolski!D16</f>
        <v>161588</v>
      </c>
      <c r="U15" s="119">
        <f>Zachodniopomorski!D16</f>
        <v>75422</v>
      </c>
    </row>
    <row r="16" spans="1:21" ht="27.75" customHeight="1">
      <c r="A16" s="29" t="s">
        <v>6</v>
      </c>
      <c r="B16" s="78" t="s">
        <v>141</v>
      </c>
      <c r="C16" s="118">
        <f t="shared" si="0"/>
        <v>1109343</v>
      </c>
      <c r="D16" s="119">
        <f>CENTRALA!D17</f>
        <v>0</v>
      </c>
      <c r="E16" s="118">
        <f t="shared" si="1"/>
        <v>1109343</v>
      </c>
      <c r="F16" s="119">
        <f>Dolnośląski!D17</f>
        <v>93326</v>
      </c>
      <c r="G16" s="119">
        <f>KujawskoPomorski!D17</f>
        <v>47625</v>
      </c>
      <c r="H16" s="119">
        <f>Lubelski!D17</f>
        <v>54449</v>
      </c>
      <c r="I16" s="119">
        <f>Lubuski!D17</f>
        <v>22099</v>
      </c>
      <c r="J16" s="119">
        <f>Łódzki!D17</f>
        <v>53278</v>
      </c>
      <c r="K16" s="119">
        <f>Małopolski!D17</f>
        <v>114602</v>
      </c>
      <c r="L16" s="119">
        <f>Mazowiecki!D17</f>
        <v>146215</v>
      </c>
      <c r="M16" s="119">
        <f>Opolski!D17</f>
        <v>44165</v>
      </c>
      <c r="N16" s="119">
        <f>Podkarpacki!D17</f>
        <v>87845</v>
      </c>
      <c r="O16" s="119">
        <f>Podlaski!D17</f>
        <v>26633</v>
      </c>
      <c r="P16" s="119">
        <f>Pomorski!D17</f>
        <v>44618</v>
      </c>
      <c r="Q16" s="119">
        <f>Śląski!D17</f>
        <v>191144</v>
      </c>
      <c r="R16" s="119">
        <f>Świętokrzyski!D17</f>
        <v>46061</v>
      </c>
      <c r="S16" s="119">
        <f>WarmińskoMazurski!D17</f>
        <v>35057</v>
      </c>
      <c r="T16" s="119">
        <f>Wielkopolski!D17</f>
        <v>62392</v>
      </c>
      <c r="U16" s="119">
        <f>Zachodniopomorski!D17</f>
        <v>39834</v>
      </c>
    </row>
    <row r="17" spans="1:21" ht="27.75" customHeight="1">
      <c r="A17" s="29" t="s">
        <v>7</v>
      </c>
      <c r="B17" s="78" t="s">
        <v>140</v>
      </c>
      <c r="C17" s="118">
        <f t="shared" si="0"/>
        <v>382703</v>
      </c>
      <c r="D17" s="119">
        <f>CENTRALA!D18</f>
        <v>0</v>
      </c>
      <c r="E17" s="118">
        <f t="shared" si="1"/>
        <v>382703</v>
      </c>
      <c r="F17" s="119">
        <f>Dolnośląski!D18</f>
        <v>32332</v>
      </c>
      <c r="G17" s="119">
        <f>KujawskoPomorski!D18</f>
        <v>26738</v>
      </c>
      <c r="H17" s="119">
        <f>Lubelski!D18</f>
        <v>15279</v>
      </c>
      <c r="I17" s="119">
        <f>Lubuski!D18</f>
        <v>10006</v>
      </c>
      <c r="J17" s="119">
        <f>Łódzki!D18</f>
        <v>22630</v>
      </c>
      <c r="K17" s="119">
        <f>Małopolski!D18</f>
        <v>34178</v>
      </c>
      <c r="L17" s="119">
        <f>Mazowiecki!D18</f>
        <v>41110</v>
      </c>
      <c r="M17" s="119">
        <f>Opolski!D18</f>
        <v>11001</v>
      </c>
      <c r="N17" s="119">
        <f>Podkarpacki!D18</f>
        <v>23150</v>
      </c>
      <c r="O17" s="119">
        <f>Podlaski!D18</f>
        <v>11280</v>
      </c>
      <c r="P17" s="119">
        <f>Pomorski!D18</f>
        <v>22390</v>
      </c>
      <c r="Q17" s="119">
        <f>Śląski!D18</f>
        <v>48663</v>
      </c>
      <c r="R17" s="119">
        <f>Świętokrzyski!D18</f>
        <v>15722</v>
      </c>
      <c r="S17" s="119">
        <f>WarmińskoMazurski!D18</f>
        <v>15349</v>
      </c>
      <c r="T17" s="119">
        <f>Wielkopolski!D18</f>
        <v>41308</v>
      </c>
      <c r="U17" s="119">
        <f>Zachodniopomorski!D18</f>
        <v>11567</v>
      </c>
    </row>
    <row r="18" spans="1:21" ht="27.75" customHeight="1">
      <c r="A18" s="29" t="s">
        <v>8</v>
      </c>
      <c r="B18" s="78" t="s">
        <v>136</v>
      </c>
      <c r="C18" s="118">
        <f t="shared" si="0"/>
        <v>1773179</v>
      </c>
      <c r="D18" s="119">
        <f>CENTRALA!D19</f>
        <v>0</v>
      </c>
      <c r="E18" s="118">
        <f t="shared" si="1"/>
        <v>1773179</v>
      </c>
      <c r="F18" s="119">
        <f>Dolnośląski!D19</f>
        <v>118510</v>
      </c>
      <c r="G18" s="119">
        <f>KujawskoPomorski!D19</f>
        <v>92665</v>
      </c>
      <c r="H18" s="119">
        <f>Lubelski!D19</f>
        <v>122503</v>
      </c>
      <c r="I18" s="119">
        <f>Lubuski!D19</f>
        <v>42848</v>
      </c>
      <c r="J18" s="119">
        <f>Łódzki!D19</f>
        <v>117974</v>
      </c>
      <c r="K18" s="119">
        <f>Małopolski!D19</f>
        <v>181060</v>
      </c>
      <c r="L18" s="119">
        <f>Mazowiecki!D19</f>
        <v>191891</v>
      </c>
      <c r="M18" s="119">
        <f>Opolski!D19</f>
        <v>46514</v>
      </c>
      <c r="N18" s="119">
        <f>Podkarpacki!D19</f>
        <v>108248</v>
      </c>
      <c r="O18" s="119">
        <f>Podlaski!D19</f>
        <v>64630</v>
      </c>
      <c r="P18" s="119">
        <f>Pomorski!D19</f>
        <v>104334</v>
      </c>
      <c r="Q18" s="119">
        <f>Śląski!D19</f>
        <v>205198</v>
      </c>
      <c r="R18" s="119">
        <f>Świętokrzyski!D19</f>
        <v>63502</v>
      </c>
      <c r="S18" s="119">
        <f>WarmińskoMazurski!D19</f>
        <v>83648</v>
      </c>
      <c r="T18" s="119">
        <f>Wielkopolski!D19</f>
        <v>141788</v>
      </c>
      <c r="U18" s="119">
        <f>Zachodniopomorski!D19</f>
        <v>87866</v>
      </c>
    </row>
    <row r="19" spans="1:21" ht="27.75" customHeight="1">
      <c r="A19" s="29" t="s">
        <v>9</v>
      </c>
      <c r="B19" s="78" t="s">
        <v>137</v>
      </c>
      <c r="C19" s="118">
        <f t="shared" si="0"/>
        <v>618616</v>
      </c>
      <c r="D19" s="119">
        <f>CENTRALA!D20</f>
        <v>0</v>
      </c>
      <c r="E19" s="118">
        <f t="shared" si="1"/>
        <v>618616</v>
      </c>
      <c r="F19" s="119">
        <f>Dolnośląski!D20</f>
        <v>60647</v>
      </c>
      <c r="G19" s="119">
        <f>KujawskoPomorski!D20</f>
        <v>32167</v>
      </c>
      <c r="H19" s="119">
        <f>Lubelski!D20</f>
        <v>39960</v>
      </c>
      <c r="I19" s="119">
        <f>Lubuski!D20</f>
        <v>13700</v>
      </c>
      <c r="J19" s="119">
        <f>Łódzki!D20</f>
        <v>42978</v>
      </c>
      <c r="K19" s="119">
        <f>Małopolski!D20</f>
        <v>49531</v>
      </c>
      <c r="L19" s="119">
        <f>Mazowiecki!D20</f>
        <v>95731</v>
      </c>
      <c r="M19" s="119">
        <f>Opolski!D20</f>
        <v>12900</v>
      </c>
      <c r="N19" s="119">
        <f>Podkarpacki!D20</f>
        <v>31970</v>
      </c>
      <c r="O19" s="119">
        <f>Podlaski!D20</f>
        <v>18401</v>
      </c>
      <c r="P19" s="119">
        <f>Pomorski!D20</f>
        <v>26568</v>
      </c>
      <c r="Q19" s="119">
        <f>Śląski!D20</f>
        <v>70012</v>
      </c>
      <c r="R19" s="119">
        <f>Świętokrzyski!D20</f>
        <v>25010</v>
      </c>
      <c r="S19" s="119">
        <f>WarmińskoMazurski!D20</f>
        <v>19676</v>
      </c>
      <c r="T19" s="119">
        <f>Wielkopolski!D20</f>
        <v>57000</v>
      </c>
      <c r="U19" s="119">
        <f>Zachodniopomorski!D20</f>
        <v>22365</v>
      </c>
    </row>
    <row r="20" spans="1:21" ht="27.75" customHeight="1">
      <c r="A20" s="29" t="s">
        <v>10</v>
      </c>
      <c r="B20" s="78" t="s">
        <v>142</v>
      </c>
      <c r="C20" s="118">
        <f t="shared" si="0"/>
        <v>46036</v>
      </c>
      <c r="D20" s="119">
        <f>CENTRALA!D21</f>
        <v>0</v>
      </c>
      <c r="E20" s="118">
        <f t="shared" si="1"/>
        <v>46036</v>
      </c>
      <c r="F20" s="119">
        <f>Dolnośląski!D21</f>
        <v>4201</v>
      </c>
      <c r="G20" s="119">
        <f>KujawskoPomorski!D21</f>
        <v>2593</v>
      </c>
      <c r="H20" s="119">
        <f>Lubelski!D21</f>
        <v>3200</v>
      </c>
      <c r="I20" s="119">
        <f>Lubuski!D21</f>
        <v>1927</v>
      </c>
      <c r="J20" s="119">
        <f>Łódzki!D21</f>
        <v>2350</v>
      </c>
      <c r="K20" s="119">
        <f>Małopolski!D21</f>
        <v>1701</v>
      </c>
      <c r="L20" s="119">
        <f>Mazowiecki!D21</f>
        <v>7805</v>
      </c>
      <c r="M20" s="119">
        <f>Opolski!D21</f>
        <v>1350</v>
      </c>
      <c r="N20" s="119">
        <f>Podkarpacki!D21</f>
        <v>3166</v>
      </c>
      <c r="O20" s="119">
        <f>Podlaski!D21</f>
        <v>1400</v>
      </c>
      <c r="P20" s="119">
        <f>Pomorski!D21</f>
        <v>1460</v>
      </c>
      <c r="Q20" s="119">
        <f>Śląski!D21</f>
        <v>4683</v>
      </c>
      <c r="R20" s="119">
        <f>Świętokrzyski!D21</f>
        <v>1500</v>
      </c>
      <c r="S20" s="119">
        <f>WarmińskoMazurski!D21</f>
        <v>2900</v>
      </c>
      <c r="T20" s="119">
        <f>Wielkopolski!D21</f>
        <v>3400</v>
      </c>
      <c r="U20" s="119">
        <f>Zachodniopomorski!D21</f>
        <v>2400</v>
      </c>
    </row>
    <row r="21" spans="1:21" ht="47.25" customHeight="1">
      <c r="A21" s="29" t="s">
        <v>11</v>
      </c>
      <c r="B21" s="78" t="s">
        <v>138</v>
      </c>
      <c r="C21" s="118">
        <f t="shared" si="0"/>
        <v>177023</v>
      </c>
      <c r="D21" s="119">
        <f>CENTRALA!D22</f>
        <v>0</v>
      </c>
      <c r="E21" s="118">
        <f t="shared" si="1"/>
        <v>177023</v>
      </c>
      <c r="F21" s="119">
        <f>Dolnośląski!D22</f>
        <v>13513</v>
      </c>
      <c r="G21" s="119">
        <f>KujawskoPomorski!D22</f>
        <v>11753</v>
      </c>
      <c r="H21" s="119">
        <f>Lubelski!D22</f>
        <v>8570</v>
      </c>
      <c r="I21" s="119">
        <f>Lubuski!D22</f>
        <v>5431</v>
      </c>
      <c r="J21" s="119">
        <f>Łódzki!D22</f>
        <v>11032</v>
      </c>
      <c r="K21" s="119">
        <f>Małopolski!D22</f>
        <v>12379</v>
      </c>
      <c r="L21" s="119">
        <f>Mazowiecki!D22</f>
        <v>22760</v>
      </c>
      <c r="M21" s="119">
        <f>Opolski!D22</f>
        <v>4477</v>
      </c>
      <c r="N21" s="119">
        <f>Podkarpacki!D22</f>
        <v>7443</v>
      </c>
      <c r="O21" s="119">
        <f>Podlaski!D22</f>
        <v>5519</v>
      </c>
      <c r="P21" s="119">
        <f>Pomorski!D22</f>
        <v>9596</v>
      </c>
      <c r="Q21" s="119">
        <f>Śląski!D22</f>
        <v>28458</v>
      </c>
      <c r="R21" s="119">
        <f>Świętokrzyski!D22</f>
        <v>5306</v>
      </c>
      <c r="S21" s="119">
        <f>WarmińskoMazurski!D22</f>
        <v>6536</v>
      </c>
      <c r="T21" s="119">
        <f>Wielkopolski!D22</f>
        <v>14733</v>
      </c>
      <c r="U21" s="119">
        <f>Zachodniopomorski!D22</f>
        <v>9517</v>
      </c>
    </row>
    <row r="22" spans="1:21" ht="27.75" customHeight="1">
      <c r="A22" s="29" t="s">
        <v>12</v>
      </c>
      <c r="B22" s="78" t="s">
        <v>185</v>
      </c>
      <c r="C22" s="118">
        <f t="shared" si="0"/>
        <v>1746477</v>
      </c>
      <c r="D22" s="119">
        <f>CENTRALA!D23</f>
        <v>0</v>
      </c>
      <c r="E22" s="118">
        <f t="shared" si="1"/>
        <v>1746477</v>
      </c>
      <c r="F22" s="119">
        <f>Dolnośląski!D23</f>
        <v>127348</v>
      </c>
      <c r="G22" s="119">
        <f>KujawskoPomorski!D23</f>
        <v>106204</v>
      </c>
      <c r="H22" s="119">
        <f>Lubelski!D23</f>
        <v>90697</v>
      </c>
      <c r="I22" s="119">
        <f>Lubuski!D23</f>
        <v>44699</v>
      </c>
      <c r="J22" s="119">
        <f>Łódzki!D23</f>
        <v>111782</v>
      </c>
      <c r="K22" s="119">
        <f>Małopolski!D23</f>
        <v>146640</v>
      </c>
      <c r="L22" s="119">
        <f>Mazowiecki!D23</f>
        <v>257145</v>
      </c>
      <c r="M22" s="119">
        <f>Opolski!D23</f>
        <v>39554</v>
      </c>
      <c r="N22" s="119">
        <f>Podkarpacki!D23</f>
        <v>84799</v>
      </c>
      <c r="O22" s="119">
        <f>Podlaski!D23</f>
        <v>42794</v>
      </c>
      <c r="P22" s="119">
        <f>Pomorski!D23</f>
        <v>112204</v>
      </c>
      <c r="Q22" s="119">
        <f>Śląski!D23</f>
        <v>211604</v>
      </c>
      <c r="R22" s="119">
        <f>Świętokrzyski!D23</f>
        <v>56878</v>
      </c>
      <c r="S22" s="119">
        <f>WarmińskoMazurski!D23</f>
        <v>64393</v>
      </c>
      <c r="T22" s="119">
        <f>Wielkopolski!D23</f>
        <v>169484</v>
      </c>
      <c r="U22" s="119">
        <f>Zachodniopomorski!D23</f>
        <v>80252</v>
      </c>
    </row>
    <row r="23" spans="1:21" ht="47.25" customHeight="1">
      <c r="A23" s="29" t="s">
        <v>13</v>
      </c>
      <c r="B23" s="78" t="s">
        <v>167</v>
      </c>
      <c r="C23" s="118">
        <f t="shared" si="0"/>
        <v>840982</v>
      </c>
      <c r="D23" s="119">
        <f>CENTRALA!D24</f>
        <v>0</v>
      </c>
      <c r="E23" s="118">
        <f t="shared" si="1"/>
        <v>840982</v>
      </c>
      <c r="F23" s="119">
        <f>Dolnośląski!D24</f>
        <v>71300</v>
      </c>
      <c r="G23" s="119">
        <f>KujawskoPomorski!D24</f>
        <v>42500</v>
      </c>
      <c r="H23" s="119">
        <f>Lubelski!D24</f>
        <v>43000</v>
      </c>
      <c r="I23" s="119">
        <f>Lubuski!D24</f>
        <v>26000</v>
      </c>
      <c r="J23" s="119">
        <f>Łódzki!D24</f>
        <v>56081</v>
      </c>
      <c r="K23" s="119">
        <f>Małopolski!D24</f>
        <v>70000</v>
      </c>
      <c r="L23" s="119">
        <f>Mazowiecki!D24</f>
        <v>109500</v>
      </c>
      <c r="M23" s="119">
        <f>Opolski!D24</f>
        <v>23000</v>
      </c>
      <c r="N23" s="119">
        <f>Podkarpacki!D24</f>
        <v>43500</v>
      </c>
      <c r="O23" s="119">
        <f>Podlaski!D24</f>
        <v>24800</v>
      </c>
      <c r="P23" s="119">
        <f>Pomorski!D24</f>
        <v>50267</v>
      </c>
      <c r="Q23" s="119">
        <f>Śląski!D24</f>
        <v>111100</v>
      </c>
      <c r="R23" s="119">
        <f>Świętokrzyski!D24</f>
        <v>29061</v>
      </c>
      <c r="S23" s="119">
        <f>WarmińskoMazurski!D24</f>
        <v>30500</v>
      </c>
      <c r="T23" s="119">
        <f>Wielkopolski!D24</f>
        <v>74000</v>
      </c>
      <c r="U23" s="119">
        <f>Zachodniopomorski!D24</f>
        <v>36373</v>
      </c>
    </row>
    <row r="24" spans="1:21" ht="27.75" customHeight="1">
      <c r="A24" s="30" t="s">
        <v>14</v>
      </c>
      <c r="B24" s="78" t="s">
        <v>168</v>
      </c>
      <c r="C24" s="118">
        <f t="shared" si="0"/>
        <v>7938896</v>
      </c>
      <c r="D24" s="119">
        <f>CENTRALA!D25</f>
        <v>0</v>
      </c>
      <c r="E24" s="118">
        <f t="shared" si="1"/>
        <v>7938896</v>
      </c>
      <c r="F24" s="119">
        <f>Dolnośląski!D25</f>
        <v>604339</v>
      </c>
      <c r="G24" s="119">
        <f>KujawskoPomorski!D25</f>
        <v>451708</v>
      </c>
      <c r="H24" s="119">
        <f>Lubelski!D25</f>
        <v>445249</v>
      </c>
      <c r="I24" s="119">
        <f>Lubuski!D25</f>
        <v>188461</v>
      </c>
      <c r="J24" s="119">
        <f>Łódzki!D25</f>
        <v>594782</v>
      </c>
      <c r="K24" s="119">
        <f>Małopolski!D25</f>
        <v>679621</v>
      </c>
      <c r="L24" s="119">
        <f>Mazowiecki!D25</f>
        <v>1086552</v>
      </c>
      <c r="M24" s="119">
        <f>Opolski!D25</f>
        <v>193042</v>
      </c>
      <c r="N24" s="119">
        <f>Podkarpacki!D25</f>
        <v>380000</v>
      </c>
      <c r="O24" s="119">
        <f>Podlaski!D25</f>
        <v>228503</v>
      </c>
      <c r="P24" s="119">
        <f>Pomorski!D25</f>
        <v>514000</v>
      </c>
      <c r="Q24" s="119">
        <f>Śląski!D25</f>
        <v>978210</v>
      </c>
      <c r="R24" s="119">
        <f>Świętokrzyski!D25</f>
        <v>265131</v>
      </c>
      <c r="S24" s="119">
        <f>WarmińskoMazurski!D25</f>
        <v>266059</v>
      </c>
      <c r="T24" s="119">
        <f>Wielkopolski!D25</f>
        <v>694158</v>
      </c>
      <c r="U24" s="119">
        <f>Zachodniopomorski!D25</f>
        <v>369081</v>
      </c>
    </row>
    <row r="25" spans="1:21" ht="33" customHeight="1">
      <c r="A25" s="28" t="s">
        <v>143</v>
      </c>
      <c r="B25" s="89" t="s">
        <v>170</v>
      </c>
      <c r="C25" s="118">
        <f t="shared" si="0"/>
        <v>7896346</v>
      </c>
      <c r="D25" s="119">
        <f>CENTRALA!D26</f>
        <v>0</v>
      </c>
      <c r="E25" s="118">
        <f t="shared" si="1"/>
        <v>7896346</v>
      </c>
      <c r="F25" s="119">
        <f>Dolnośląski!D26</f>
        <v>602339</v>
      </c>
      <c r="G25" s="119">
        <f>KujawskoPomorski!D26</f>
        <v>450895</v>
      </c>
      <c r="H25" s="119">
        <f>Lubelski!D26</f>
        <v>443049</v>
      </c>
      <c r="I25" s="119">
        <f>Lubuski!D26</f>
        <v>188161</v>
      </c>
      <c r="J25" s="119">
        <f>Łódzki!D26</f>
        <v>592782</v>
      </c>
      <c r="K25" s="119">
        <f>Małopolski!D26</f>
        <v>675621</v>
      </c>
      <c r="L25" s="119">
        <f>Mazowiecki!D26</f>
        <v>1078245</v>
      </c>
      <c r="M25" s="119">
        <f>Opolski!D26</f>
        <v>192272</v>
      </c>
      <c r="N25" s="119">
        <f>Podkarpacki!D26</f>
        <v>367000</v>
      </c>
      <c r="O25" s="119">
        <f>Podlaski!D26</f>
        <v>225303</v>
      </c>
      <c r="P25" s="119">
        <f>Pomorski!D26</f>
        <v>513300</v>
      </c>
      <c r="Q25" s="119">
        <f>Śląski!D26</f>
        <v>976402</v>
      </c>
      <c r="R25" s="119">
        <f>Świętokrzyski!D26</f>
        <v>264659</v>
      </c>
      <c r="S25" s="119">
        <f>WarmińskoMazurski!D26</f>
        <v>265389</v>
      </c>
      <c r="T25" s="119">
        <f>Wielkopolski!D26</f>
        <v>692708</v>
      </c>
      <c r="U25" s="119">
        <f>Zachodniopomorski!D26</f>
        <v>368221</v>
      </c>
    </row>
    <row r="26" spans="1:21" ht="33" customHeight="1">
      <c r="A26" s="79" t="s">
        <v>169</v>
      </c>
      <c r="B26" s="89" t="s">
        <v>172</v>
      </c>
      <c r="C26" s="118">
        <f t="shared" si="0"/>
        <v>33144</v>
      </c>
      <c r="D26" s="119">
        <f>CENTRALA!D27</f>
        <v>0</v>
      </c>
      <c r="E26" s="118">
        <f t="shared" si="1"/>
        <v>33144</v>
      </c>
      <c r="F26" s="119">
        <f>Dolnośląski!D27</f>
        <v>1000</v>
      </c>
      <c r="G26" s="119">
        <f>KujawskoPomorski!D27</f>
        <v>550</v>
      </c>
      <c r="H26" s="119">
        <f>Lubelski!D27</f>
        <v>2000</v>
      </c>
      <c r="I26" s="119">
        <f>Lubuski!D27</f>
        <v>200</v>
      </c>
      <c r="J26" s="119">
        <f>Łódzki!D27</f>
        <v>1400</v>
      </c>
      <c r="K26" s="119">
        <f>Małopolski!D27</f>
        <v>3000</v>
      </c>
      <c r="L26" s="119">
        <f>Mazowiecki!D27</f>
        <v>6252</v>
      </c>
      <c r="M26" s="119">
        <f>Opolski!D27</f>
        <v>650</v>
      </c>
      <c r="N26" s="119">
        <f>Podkarpacki!D27</f>
        <v>11000</v>
      </c>
      <c r="O26" s="119">
        <f>Podlaski!D27</f>
        <v>2600</v>
      </c>
      <c r="P26" s="119">
        <f>Pomorski!D27</f>
        <v>500</v>
      </c>
      <c r="Q26" s="119">
        <f>Śląski!D27</f>
        <v>1558</v>
      </c>
      <c r="R26" s="119">
        <f>Świętokrzyski!D27</f>
        <v>338</v>
      </c>
      <c r="S26" s="119">
        <f>WarmińskoMazurski!D27</f>
        <v>520</v>
      </c>
      <c r="T26" s="119">
        <f>Wielkopolski!D27</f>
        <v>1100</v>
      </c>
      <c r="U26" s="119">
        <f>Zachodniopomorski!D27</f>
        <v>476</v>
      </c>
    </row>
    <row r="27" spans="1:21" ht="33" customHeight="1">
      <c r="A27" s="79" t="s">
        <v>173</v>
      </c>
      <c r="B27" s="89" t="s">
        <v>171</v>
      </c>
      <c r="C27" s="118">
        <f t="shared" si="0"/>
        <v>9406</v>
      </c>
      <c r="D27" s="119">
        <f>CENTRALA!D28</f>
        <v>0</v>
      </c>
      <c r="E27" s="118">
        <f t="shared" si="1"/>
        <v>9406</v>
      </c>
      <c r="F27" s="119">
        <f>Dolnośląski!D28</f>
        <v>1000</v>
      </c>
      <c r="G27" s="119">
        <f>KujawskoPomorski!D28</f>
        <v>263</v>
      </c>
      <c r="H27" s="119">
        <f>Lubelski!D28</f>
        <v>200</v>
      </c>
      <c r="I27" s="119">
        <f>Lubuski!D28</f>
        <v>100</v>
      </c>
      <c r="J27" s="119">
        <f>Łódzki!D28</f>
        <v>600</v>
      </c>
      <c r="K27" s="119">
        <f>Małopolski!D28</f>
        <v>1000</v>
      </c>
      <c r="L27" s="119">
        <f>Mazowiecki!D28</f>
        <v>2055</v>
      </c>
      <c r="M27" s="119">
        <f>Opolski!D28</f>
        <v>120</v>
      </c>
      <c r="N27" s="119">
        <f>Podkarpacki!D28</f>
        <v>2000</v>
      </c>
      <c r="O27" s="119">
        <f>Podlaski!D28</f>
        <v>600</v>
      </c>
      <c r="P27" s="119">
        <f>Pomorski!D28</f>
        <v>200</v>
      </c>
      <c r="Q27" s="119">
        <f>Śląski!D28</f>
        <v>250</v>
      </c>
      <c r="R27" s="119">
        <f>Świętokrzyski!D28</f>
        <v>134</v>
      </c>
      <c r="S27" s="119">
        <f>WarmińskoMazurski!D28</f>
        <v>150</v>
      </c>
      <c r="T27" s="119">
        <f>Wielkopolski!D28</f>
        <v>350</v>
      </c>
      <c r="U27" s="119">
        <f>Zachodniopomorski!D28</f>
        <v>384</v>
      </c>
    </row>
    <row r="28" spans="1:21" ht="27.75" customHeight="1">
      <c r="A28" s="31" t="s">
        <v>15</v>
      </c>
      <c r="B28" s="36" t="s">
        <v>122</v>
      </c>
      <c r="C28" s="118">
        <f t="shared" si="0"/>
        <v>399133</v>
      </c>
      <c r="D28" s="119">
        <f>CENTRALA!D29</f>
        <v>399133</v>
      </c>
      <c r="E28" s="118">
        <f t="shared" si="1"/>
        <v>0</v>
      </c>
      <c r="F28" s="119">
        <f>Dolnośląski!D29</f>
        <v>0</v>
      </c>
      <c r="G28" s="119">
        <f>KujawskoPomorski!D29</f>
        <v>0</v>
      </c>
      <c r="H28" s="119">
        <f>Lubelski!D29</f>
        <v>0</v>
      </c>
      <c r="I28" s="119">
        <f>Lubuski!D29</f>
        <v>0</v>
      </c>
      <c r="J28" s="119">
        <f>Łódzki!D29</f>
        <v>0</v>
      </c>
      <c r="K28" s="119">
        <f>Małopolski!D29</f>
        <v>0</v>
      </c>
      <c r="L28" s="119">
        <f>Mazowiecki!D29</f>
        <v>0</v>
      </c>
      <c r="M28" s="119">
        <f>Opolski!D29</f>
        <v>0</v>
      </c>
      <c r="N28" s="119">
        <f>Podkarpacki!D29</f>
        <v>0</v>
      </c>
      <c r="O28" s="119">
        <f>Podlaski!D29</f>
        <v>0</v>
      </c>
      <c r="P28" s="119">
        <f>Pomorski!D29</f>
        <v>0</v>
      </c>
      <c r="Q28" s="119">
        <f>Śląski!D29</f>
        <v>0</v>
      </c>
      <c r="R28" s="119">
        <f>Świętokrzyski!D29</f>
        <v>0</v>
      </c>
      <c r="S28" s="119">
        <f>WarmińskoMazurski!D29</f>
        <v>0</v>
      </c>
      <c r="T28" s="119">
        <f>Wielkopolski!D29</f>
        <v>0</v>
      </c>
      <c r="U28" s="119">
        <f>Zachodniopomorski!D29</f>
        <v>0</v>
      </c>
    </row>
    <row r="29" spans="1:21" ht="47.25" customHeight="1">
      <c r="A29" s="31" t="s">
        <v>119</v>
      </c>
      <c r="B29" s="40" t="s">
        <v>174</v>
      </c>
      <c r="C29" s="118">
        <f t="shared" si="0"/>
        <v>19196</v>
      </c>
      <c r="D29" s="119">
        <f>CENTRALA!D30</f>
        <v>19196</v>
      </c>
      <c r="E29" s="118">
        <f t="shared" si="1"/>
        <v>0</v>
      </c>
      <c r="F29" s="119">
        <f>Dolnośląski!D30</f>
        <v>0</v>
      </c>
      <c r="G29" s="119">
        <f>KujawskoPomorski!D30</f>
        <v>0</v>
      </c>
      <c r="H29" s="119">
        <f>Lubelski!D30</f>
        <v>0</v>
      </c>
      <c r="I29" s="119">
        <f>Lubuski!D30</f>
        <v>0</v>
      </c>
      <c r="J29" s="119">
        <f>Łódzki!D30</f>
        <v>0</v>
      </c>
      <c r="K29" s="119">
        <f>Małopolski!D30</f>
        <v>0</v>
      </c>
      <c r="L29" s="119">
        <f>Mazowiecki!D30</f>
        <v>0</v>
      </c>
      <c r="M29" s="119">
        <f>Opolski!D30</f>
        <v>0</v>
      </c>
      <c r="N29" s="119">
        <f>Podkarpacki!D30</f>
        <v>0</v>
      </c>
      <c r="O29" s="119">
        <f>Podlaski!D30</f>
        <v>0</v>
      </c>
      <c r="P29" s="119">
        <f>Pomorski!D30</f>
        <v>0</v>
      </c>
      <c r="Q29" s="119">
        <f>Śląski!D30</f>
        <v>0</v>
      </c>
      <c r="R29" s="119">
        <f>Świętokrzyski!D30</f>
        <v>0</v>
      </c>
      <c r="S29" s="119">
        <f>WarmińskoMazurski!D30</f>
        <v>0</v>
      </c>
      <c r="T29" s="119">
        <f>Wielkopolski!D30</f>
        <v>0</v>
      </c>
      <c r="U29" s="119">
        <f>Zachodniopomorski!D30</f>
        <v>0</v>
      </c>
    </row>
    <row r="30" spans="1:21" ht="30" customHeight="1">
      <c r="A30" s="79" t="s">
        <v>175</v>
      </c>
      <c r="B30" s="89" t="s">
        <v>187</v>
      </c>
      <c r="C30" s="118">
        <f t="shared" si="0"/>
        <v>0</v>
      </c>
      <c r="D30" s="119">
        <f>CENTRALA!D31</f>
        <v>0</v>
      </c>
      <c r="E30" s="118">
        <f t="shared" si="1"/>
        <v>0</v>
      </c>
      <c r="F30" s="119">
        <f>Dolnośląski!D31</f>
        <v>0</v>
      </c>
      <c r="G30" s="119">
        <f>KujawskoPomorski!D31</f>
        <v>0</v>
      </c>
      <c r="H30" s="119">
        <f>Lubelski!D31</f>
        <v>0</v>
      </c>
      <c r="I30" s="119">
        <f>Lubuski!D31</f>
        <v>0</v>
      </c>
      <c r="J30" s="119">
        <f>Łódzki!D31</f>
        <v>0</v>
      </c>
      <c r="K30" s="119">
        <f>Małopolski!D31</f>
        <v>0</v>
      </c>
      <c r="L30" s="119">
        <f>Mazowiecki!D31</f>
        <v>0</v>
      </c>
      <c r="M30" s="119">
        <f>Opolski!D31</f>
        <v>0</v>
      </c>
      <c r="N30" s="119">
        <f>Podkarpacki!D31</f>
        <v>0</v>
      </c>
      <c r="O30" s="119">
        <f>Podlaski!D31</f>
        <v>0</v>
      </c>
      <c r="P30" s="119">
        <f>Pomorski!D31</f>
        <v>0</v>
      </c>
      <c r="Q30" s="119">
        <f>Śląski!D31</f>
        <v>0</v>
      </c>
      <c r="R30" s="119">
        <f>Świętokrzyski!D31</f>
        <v>0</v>
      </c>
      <c r="S30" s="119">
        <f>WarmińskoMazurski!D31</f>
        <v>0</v>
      </c>
      <c r="T30" s="119">
        <f>Wielkopolski!D31</f>
        <v>0</v>
      </c>
      <c r="U30" s="119">
        <f>Zachodniopomorski!D31</f>
        <v>0</v>
      </c>
    </row>
    <row r="31" spans="1:21" ht="27.75" customHeight="1">
      <c r="A31" s="31" t="s">
        <v>120</v>
      </c>
      <c r="B31" s="37" t="s">
        <v>123</v>
      </c>
      <c r="C31" s="118">
        <f t="shared" si="0"/>
        <v>0</v>
      </c>
      <c r="D31" s="119">
        <f>CENTRALA!D32</f>
        <v>0</v>
      </c>
      <c r="E31" s="118">
        <f t="shared" si="1"/>
        <v>0</v>
      </c>
      <c r="F31" s="119">
        <f>Dolnośląski!D32</f>
        <v>0</v>
      </c>
      <c r="G31" s="119">
        <f>KujawskoPomorski!D32</f>
        <v>0</v>
      </c>
      <c r="H31" s="119">
        <f>Lubelski!D32</f>
        <v>0</v>
      </c>
      <c r="I31" s="119">
        <f>Lubuski!D32</f>
        <v>0</v>
      </c>
      <c r="J31" s="119">
        <f>Łódzki!D32</f>
        <v>0</v>
      </c>
      <c r="K31" s="119">
        <f>Małopolski!D32</f>
        <v>0</v>
      </c>
      <c r="L31" s="119">
        <f>Mazowiecki!D32</f>
        <v>0</v>
      </c>
      <c r="M31" s="119">
        <f>Opolski!D32</f>
        <v>0</v>
      </c>
      <c r="N31" s="119">
        <f>Podkarpacki!D32</f>
        <v>0</v>
      </c>
      <c r="O31" s="119">
        <f>Podlaski!D32</f>
        <v>0</v>
      </c>
      <c r="P31" s="119">
        <f>Pomorski!D32</f>
        <v>0</v>
      </c>
      <c r="Q31" s="119">
        <f>Śląski!D32</f>
        <v>0</v>
      </c>
      <c r="R31" s="119">
        <f>Świętokrzyski!D32</f>
        <v>0</v>
      </c>
      <c r="S31" s="119">
        <f>WarmińskoMazurski!D32</f>
        <v>0</v>
      </c>
      <c r="T31" s="119">
        <f>Wielkopolski!D32</f>
        <v>0</v>
      </c>
      <c r="U31" s="119">
        <f>Zachodniopomorski!D32</f>
        <v>0</v>
      </c>
    </row>
    <row r="32" spans="1:21" ht="27.75" customHeight="1">
      <c r="A32" s="31" t="s">
        <v>121</v>
      </c>
      <c r="B32" s="40" t="s">
        <v>186</v>
      </c>
      <c r="C32" s="118">
        <f t="shared" si="0"/>
        <v>361545</v>
      </c>
      <c r="D32" s="119">
        <f>CENTRALA!D33</f>
        <v>0</v>
      </c>
      <c r="E32" s="118">
        <f t="shared" si="1"/>
        <v>361545</v>
      </c>
      <c r="F32" s="119">
        <f>Dolnośląski!D33</f>
        <v>33237</v>
      </c>
      <c r="G32" s="119">
        <f>KujawskoPomorski!D33</f>
        <v>5336</v>
      </c>
      <c r="H32" s="119">
        <f>Lubelski!D33</f>
        <v>34100</v>
      </c>
      <c r="I32" s="119">
        <f>Lubuski!D33</f>
        <v>11168</v>
      </c>
      <c r="J32" s="119">
        <f>Łódzki!D33</f>
        <v>59126</v>
      </c>
      <c r="K32" s="119">
        <f>Małopolski!D33</f>
        <v>0</v>
      </c>
      <c r="L32" s="119">
        <f>Mazowiecki!D33</f>
        <v>17869</v>
      </c>
      <c r="M32" s="119">
        <f>Opolski!D33</f>
        <v>4584</v>
      </c>
      <c r="N32" s="119">
        <f>Podkarpacki!D33</f>
        <v>36082</v>
      </c>
      <c r="O32" s="119">
        <f>Podlaski!D33</f>
        <v>5207</v>
      </c>
      <c r="P32" s="119">
        <f>Pomorski!D33</f>
        <v>5901</v>
      </c>
      <c r="Q32" s="119">
        <f>Śląski!D33</f>
        <v>53272</v>
      </c>
      <c r="R32" s="119">
        <f>Świętokrzyski!D33</f>
        <v>1741</v>
      </c>
      <c r="S32" s="119">
        <f>WarmińskoMazurski!D33</f>
        <v>13107</v>
      </c>
      <c r="T32" s="119">
        <f>Wielkopolski!D33</f>
        <v>73545</v>
      </c>
      <c r="U32" s="119">
        <f>Zachodniopomorski!D33</f>
        <v>7270</v>
      </c>
    </row>
    <row r="33" spans="1:21" ht="33.75" customHeight="1">
      <c r="A33" s="32" t="s">
        <v>59</v>
      </c>
      <c r="B33" s="38" t="s">
        <v>60</v>
      </c>
      <c r="C33" s="118">
        <f t="shared" si="0"/>
        <v>0</v>
      </c>
      <c r="D33" s="133">
        <f>CENTRALA!D35</f>
        <v>0</v>
      </c>
      <c r="E33" s="118">
        <f t="shared" si="1"/>
        <v>0</v>
      </c>
      <c r="F33" s="119">
        <f>Dolnośląski!D35</f>
        <v>0</v>
      </c>
      <c r="G33" s="133">
        <f>KujawskoPomorski!D35</f>
        <v>0</v>
      </c>
      <c r="H33" s="133">
        <f>Lubelski!D35</f>
        <v>0</v>
      </c>
      <c r="I33" s="133">
        <f>Lubuski!D35</f>
        <v>0</v>
      </c>
      <c r="J33" s="133">
        <f>Łódzki!D35</f>
        <v>0</v>
      </c>
      <c r="K33" s="133">
        <f>Małopolski!D35</f>
        <v>0</v>
      </c>
      <c r="L33" s="133">
        <f>Mazowiecki!D35</f>
        <v>0</v>
      </c>
      <c r="M33" s="133">
        <f>Opolski!D35</f>
        <v>0</v>
      </c>
      <c r="N33" s="133">
        <f>Podkarpacki!D35</f>
        <v>0</v>
      </c>
      <c r="O33" s="133">
        <f>Podlaski!D35</f>
        <v>0</v>
      </c>
      <c r="P33" s="133">
        <f>Pomorski!D35</f>
        <v>0</v>
      </c>
      <c r="Q33" s="133">
        <f>Śląski!D35</f>
        <v>0</v>
      </c>
      <c r="R33" s="133">
        <f>Świętokrzyski!D35</f>
        <v>0</v>
      </c>
      <c r="S33" s="133">
        <f>WarmińskoMazurski!D35</f>
        <v>0</v>
      </c>
      <c r="T33" s="133">
        <f>Wielkopolski!D35</f>
        <v>0</v>
      </c>
      <c r="U33" s="133">
        <f>Zachodniopomorski!D35</f>
        <v>0</v>
      </c>
    </row>
    <row r="34" spans="1:21" ht="33.75" customHeight="1">
      <c r="A34" s="32" t="s">
        <v>58</v>
      </c>
      <c r="B34" s="38" t="s">
        <v>61</v>
      </c>
      <c r="C34" s="118">
        <f t="shared" si="0"/>
        <v>1839959</v>
      </c>
      <c r="D34" s="133">
        <f>CENTRALA!D36</f>
        <v>0</v>
      </c>
      <c r="E34" s="118">
        <f t="shared" si="1"/>
        <v>1839959</v>
      </c>
      <c r="F34" s="119">
        <f>Dolnośląski!D36</f>
        <v>139228</v>
      </c>
      <c r="G34" s="133">
        <f>KujawskoPomorski!D36</f>
        <v>109526</v>
      </c>
      <c r="H34" s="133">
        <f>Lubelski!D36</f>
        <v>112868</v>
      </c>
      <c r="I34" s="133">
        <f>Lubuski!D36</f>
        <v>65344</v>
      </c>
      <c r="J34" s="133">
        <f>Łódzki!D36</f>
        <v>121125</v>
      </c>
      <c r="K34" s="133">
        <f>Małopolski!D36</f>
        <v>139169</v>
      </c>
      <c r="L34" s="133">
        <f>Mazowiecki!D36</f>
        <v>228795</v>
      </c>
      <c r="M34" s="133">
        <f>Opolski!D36</f>
        <v>51978</v>
      </c>
      <c r="N34" s="133">
        <f>Podkarpacki!D36</f>
        <v>106378</v>
      </c>
      <c r="O34" s="133">
        <f>Podlaski!D36</f>
        <v>69057</v>
      </c>
      <c r="P34" s="133">
        <f>Pomorski!D36</f>
        <v>103660</v>
      </c>
      <c r="Q34" s="133">
        <f>Śląski!D36</f>
        <v>199375</v>
      </c>
      <c r="R34" s="133">
        <f>Świętokrzyski!D36</f>
        <v>56434</v>
      </c>
      <c r="S34" s="133">
        <f>WarmińskoMazurski!D36</f>
        <v>91824</v>
      </c>
      <c r="T34" s="133">
        <f>Wielkopolski!D36</f>
        <v>145169</v>
      </c>
      <c r="U34" s="133">
        <f>Zachodniopomorski!D36</f>
        <v>100029</v>
      </c>
    </row>
    <row r="35" spans="1:21" ht="40.5">
      <c r="A35" s="120" t="s">
        <v>176</v>
      </c>
      <c r="B35" s="38" t="s">
        <v>177</v>
      </c>
      <c r="C35" s="118">
        <f t="shared" si="0"/>
        <v>10901083</v>
      </c>
      <c r="D35" s="133">
        <f>CENTRALA!D37</f>
        <v>0</v>
      </c>
      <c r="E35" s="118">
        <f t="shared" si="1"/>
        <v>10901083</v>
      </c>
      <c r="F35" s="119">
        <f>Dolnośląski!D37</f>
        <v>840312</v>
      </c>
      <c r="G35" s="133">
        <f>KujawskoPomorski!D37</f>
        <v>625611</v>
      </c>
      <c r="H35" s="133">
        <f>Lubelski!D37</f>
        <v>599946</v>
      </c>
      <c r="I35" s="133">
        <f>Lubuski!D37</f>
        <v>254464</v>
      </c>
      <c r="J35" s="133">
        <f>Łódzki!D37</f>
        <v>792986</v>
      </c>
      <c r="K35" s="133">
        <f>Małopolski!D37</f>
        <v>964558</v>
      </c>
      <c r="L35" s="133">
        <f>Mazowiecki!D37</f>
        <v>1536899</v>
      </c>
      <c r="M35" s="133">
        <f>Opolski!D37</f>
        <v>258400</v>
      </c>
      <c r="N35" s="133">
        <f>Podkarpacki!D37</f>
        <v>534482</v>
      </c>
      <c r="O35" s="133">
        <f>Podlaski!D37</f>
        <v>320115</v>
      </c>
      <c r="P35" s="133">
        <f>Pomorski!D37</f>
        <v>669118</v>
      </c>
      <c r="Q35" s="133">
        <f>Śląski!D37</f>
        <v>1340525</v>
      </c>
      <c r="R35" s="133">
        <f>Świętokrzyski!D37</f>
        <v>361783</v>
      </c>
      <c r="S35" s="133">
        <f>WarmińskoMazurski!D37</f>
        <v>370022</v>
      </c>
      <c r="T35" s="133">
        <f>Wielkopolski!D37</f>
        <v>947681</v>
      </c>
      <c r="U35" s="133">
        <f>Zachodniopomorski!D37</f>
        <v>484181</v>
      </c>
    </row>
    <row r="36" spans="1:21" ht="20.25">
      <c r="A36" s="121" t="s">
        <v>16</v>
      </c>
      <c r="B36" s="122" t="s">
        <v>184</v>
      </c>
      <c r="C36" s="123">
        <f t="shared" si="0"/>
        <v>704620</v>
      </c>
      <c r="D36" s="123">
        <f>CENTRALA!D38</f>
        <v>206155</v>
      </c>
      <c r="E36" s="123">
        <f t="shared" si="1"/>
        <v>498465</v>
      </c>
      <c r="F36" s="123">
        <f>Dolnośląski!D38</f>
        <v>38684</v>
      </c>
      <c r="G36" s="123">
        <f>KujawskoPomorski!D38</f>
        <v>24357</v>
      </c>
      <c r="H36" s="123">
        <f>Lubelski!D38</f>
        <v>24472</v>
      </c>
      <c r="I36" s="123">
        <f>Lubuski!D38</f>
        <v>15942</v>
      </c>
      <c r="J36" s="123">
        <f>Łódzki!D38</f>
        <v>30480</v>
      </c>
      <c r="K36" s="123">
        <f>Małopolski!D38</f>
        <v>40940</v>
      </c>
      <c r="L36" s="123">
        <f>Mazowiecki!D38</f>
        <v>68976</v>
      </c>
      <c r="M36" s="123">
        <f>Opolski!D38</f>
        <v>17445</v>
      </c>
      <c r="N36" s="123">
        <f>Podkarpacki!D38</f>
        <v>25946</v>
      </c>
      <c r="O36" s="123">
        <f>Podlaski!D38</f>
        <v>14740</v>
      </c>
      <c r="P36" s="123">
        <f>Pomorski!D38</f>
        <v>33145</v>
      </c>
      <c r="Q36" s="123">
        <f>Śląski!D38</f>
        <v>61797</v>
      </c>
      <c r="R36" s="123">
        <f>Świętokrzyski!D38</f>
        <v>18323</v>
      </c>
      <c r="S36" s="123">
        <f>WarmińskoMazurski!D38</f>
        <v>18781</v>
      </c>
      <c r="T36" s="123">
        <f>Wielkopolski!D38</f>
        <v>43740</v>
      </c>
      <c r="U36" s="123">
        <f>Zachodniopomorski!D38</f>
        <v>20697</v>
      </c>
    </row>
    <row r="37" spans="1:21" ht="27.75" customHeight="1">
      <c r="A37" s="31" t="s">
        <v>17</v>
      </c>
      <c r="B37" s="40" t="s">
        <v>18</v>
      </c>
      <c r="C37" s="118">
        <f t="shared" si="0"/>
        <v>28994</v>
      </c>
      <c r="D37" s="119">
        <f>CENTRALA!D39</f>
        <v>5016</v>
      </c>
      <c r="E37" s="118">
        <f t="shared" si="1"/>
        <v>23978</v>
      </c>
      <c r="F37" s="119">
        <f>Dolnośląski!D39</f>
        <v>1732</v>
      </c>
      <c r="G37" s="119">
        <f>KujawskoPomorski!D39</f>
        <v>1223</v>
      </c>
      <c r="H37" s="119">
        <f>Lubelski!D39</f>
        <v>1010</v>
      </c>
      <c r="I37" s="119">
        <f>Lubuski!D39</f>
        <v>704</v>
      </c>
      <c r="J37" s="119">
        <f>Łódzki!D39</f>
        <v>1142</v>
      </c>
      <c r="K37" s="119">
        <f>Małopolski!D39</f>
        <v>1699</v>
      </c>
      <c r="L37" s="119">
        <f>Mazowiecki!D39</f>
        <v>2800</v>
      </c>
      <c r="M37" s="119">
        <f>Opolski!D39</f>
        <v>928</v>
      </c>
      <c r="N37" s="119">
        <f>Podkarpacki!D39</f>
        <v>1252</v>
      </c>
      <c r="O37" s="119">
        <f>Podlaski!D39</f>
        <v>667</v>
      </c>
      <c r="P37" s="119">
        <f>Pomorski!D39</f>
        <v>1795</v>
      </c>
      <c r="Q37" s="119">
        <f>Śląski!D39</f>
        <v>3954</v>
      </c>
      <c r="R37" s="119">
        <f>Świętokrzyski!D39</f>
        <v>904</v>
      </c>
      <c r="S37" s="119">
        <f>WarmińskoMazurski!D39</f>
        <v>798</v>
      </c>
      <c r="T37" s="119">
        <f>Wielkopolski!D39</f>
        <v>2407</v>
      </c>
      <c r="U37" s="119">
        <f>Zachodniopomorski!D39</f>
        <v>963</v>
      </c>
    </row>
    <row r="38" spans="1:21" ht="27.75" customHeight="1">
      <c r="A38" s="31" t="s">
        <v>19</v>
      </c>
      <c r="B38" s="40" t="s">
        <v>20</v>
      </c>
      <c r="C38" s="118">
        <f t="shared" si="0"/>
        <v>165654</v>
      </c>
      <c r="D38" s="119">
        <f>CENTRALA!D40</f>
        <v>100191</v>
      </c>
      <c r="E38" s="118">
        <f t="shared" si="1"/>
        <v>65463</v>
      </c>
      <c r="F38" s="119">
        <f>Dolnośląski!D40</f>
        <v>4111</v>
      </c>
      <c r="G38" s="119">
        <f>KujawskoPomorski!D40</f>
        <v>3299</v>
      </c>
      <c r="H38" s="119">
        <f>Lubelski!D40</f>
        <v>2988</v>
      </c>
      <c r="I38" s="119">
        <f>Lubuski!D40</f>
        <v>2676</v>
      </c>
      <c r="J38" s="119">
        <f>Łódzki!D40</f>
        <v>5093</v>
      </c>
      <c r="K38" s="119">
        <f>Małopolski!D40</f>
        <v>4681</v>
      </c>
      <c r="L38" s="119">
        <f>Mazowiecki!D40</f>
        <v>11602</v>
      </c>
      <c r="M38" s="119">
        <f>Opolski!D40</f>
        <v>2122</v>
      </c>
      <c r="N38" s="119">
        <f>Podkarpacki!D40</f>
        <v>3528</v>
      </c>
      <c r="O38" s="119">
        <f>Podlaski!D40</f>
        <v>1022</v>
      </c>
      <c r="P38" s="119">
        <f>Pomorski!D40</f>
        <v>3186</v>
      </c>
      <c r="Q38" s="119">
        <f>Śląski!D40</f>
        <v>6444</v>
      </c>
      <c r="R38" s="119">
        <f>Świętokrzyski!D40</f>
        <v>1991</v>
      </c>
      <c r="S38" s="119">
        <f>WarmińskoMazurski!D40</f>
        <v>2000</v>
      </c>
      <c r="T38" s="119">
        <f>Wielkopolski!D40</f>
        <v>8290</v>
      </c>
      <c r="U38" s="119">
        <f>Zachodniopomorski!D40</f>
        <v>2430</v>
      </c>
    </row>
    <row r="39" spans="1:21" ht="27.75" customHeight="1">
      <c r="A39" s="31" t="s">
        <v>21</v>
      </c>
      <c r="B39" s="41" t="s">
        <v>235</v>
      </c>
      <c r="C39" s="118">
        <f t="shared" si="0"/>
        <v>5212</v>
      </c>
      <c r="D39" s="119">
        <f>CENTRALA!D41</f>
        <v>490</v>
      </c>
      <c r="E39" s="118">
        <f t="shared" si="1"/>
        <v>4722</v>
      </c>
      <c r="F39" s="119">
        <f>Dolnośląski!D41</f>
        <v>645</v>
      </c>
      <c r="G39" s="119">
        <f>KujawskoPomorski!D41</f>
        <v>181</v>
      </c>
      <c r="H39" s="119">
        <f>Lubelski!D41</f>
        <v>242</v>
      </c>
      <c r="I39" s="119">
        <f>Lubuski!D41</f>
        <v>168</v>
      </c>
      <c r="J39" s="119">
        <f>Łódzki!D41</f>
        <v>295</v>
      </c>
      <c r="K39" s="119">
        <f>Małopolski!D41</f>
        <v>281</v>
      </c>
      <c r="L39" s="119">
        <f>Mazowiecki!D41</f>
        <v>461</v>
      </c>
      <c r="M39" s="119">
        <f>Opolski!D41</f>
        <v>164</v>
      </c>
      <c r="N39" s="119">
        <f>Podkarpacki!D41</f>
        <v>132</v>
      </c>
      <c r="O39" s="119">
        <f>Podlaski!D41</f>
        <v>229</v>
      </c>
      <c r="P39" s="119">
        <f>Pomorski!D41</f>
        <v>287</v>
      </c>
      <c r="Q39" s="119">
        <f>Śląski!D41</f>
        <v>719</v>
      </c>
      <c r="R39" s="119">
        <f>Świętokrzyski!D41</f>
        <v>57</v>
      </c>
      <c r="S39" s="119">
        <f>WarmińskoMazurski!D41</f>
        <v>105</v>
      </c>
      <c r="T39" s="119">
        <f>Wielkopolski!D41</f>
        <v>515</v>
      </c>
      <c r="U39" s="119">
        <f>Zachodniopomorski!D41</f>
        <v>241</v>
      </c>
    </row>
    <row r="40" spans="1:21" ht="23.25">
      <c r="A40" s="42" t="s">
        <v>39</v>
      </c>
      <c r="B40" s="43" t="s">
        <v>32</v>
      </c>
      <c r="C40" s="118">
        <f t="shared" si="0"/>
        <v>618</v>
      </c>
      <c r="D40" s="119">
        <f>CENTRALA!D42</f>
        <v>43</v>
      </c>
      <c r="E40" s="118">
        <f t="shared" si="1"/>
        <v>575</v>
      </c>
      <c r="F40" s="119">
        <f>Dolnośląski!D42</f>
        <v>91</v>
      </c>
      <c r="G40" s="119">
        <f>KujawskoPomorski!D42</f>
        <v>43</v>
      </c>
      <c r="H40" s="119">
        <f>Lubelski!D42</f>
        <v>29</v>
      </c>
      <c r="I40" s="119">
        <f>Lubuski!D42</f>
        <v>30</v>
      </c>
      <c r="J40" s="119">
        <f>Łódzki!D42</f>
        <v>13</v>
      </c>
      <c r="K40" s="119">
        <f>Małopolski!D42</f>
        <v>23</v>
      </c>
      <c r="L40" s="119">
        <f>Mazowiecki!D42</f>
        <v>28</v>
      </c>
      <c r="M40" s="119">
        <f>Opolski!D42</f>
        <v>0</v>
      </c>
      <c r="N40" s="119">
        <f>Podkarpacki!D42</f>
        <v>26</v>
      </c>
      <c r="O40" s="119">
        <f>Podlaski!D42</f>
        <v>18</v>
      </c>
      <c r="P40" s="119">
        <f>Pomorski!D42</f>
        <v>48</v>
      </c>
      <c r="Q40" s="119">
        <f>Śląski!D42</f>
        <v>114</v>
      </c>
      <c r="R40" s="119">
        <f>Świętokrzyski!D42</f>
        <v>7</v>
      </c>
      <c r="S40" s="119">
        <f>WarmińskoMazurski!D42</f>
        <v>29</v>
      </c>
      <c r="T40" s="119">
        <f>Wielkopolski!D42</f>
        <v>48</v>
      </c>
      <c r="U40" s="119">
        <f>Zachodniopomorski!D42</f>
        <v>28</v>
      </c>
    </row>
    <row r="41" spans="1:21" ht="23.25">
      <c r="A41" s="42" t="s">
        <v>40</v>
      </c>
      <c r="B41" s="44" t="s">
        <v>33</v>
      </c>
      <c r="C41" s="118">
        <f t="shared" si="0"/>
        <v>591</v>
      </c>
      <c r="D41" s="119">
        <f>CENTRALA!D43</f>
        <v>43</v>
      </c>
      <c r="E41" s="118">
        <f t="shared" si="1"/>
        <v>548</v>
      </c>
      <c r="F41" s="119">
        <f>Dolnośląski!D43</f>
        <v>67</v>
      </c>
      <c r="G41" s="119">
        <f>KujawskoPomorski!D43</f>
        <v>43</v>
      </c>
      <c r="H41" s="119">
        <f>Lubelski!D43</f>
        <v>29</v>
      </c>
      <c r="I41" s="119">
        <f>Lubuski!D43</f>
        <v>30</v>
      </c>
      <c r="J41" s="119">
        <f>Łódzki!D43</f>
        <v>13</v>
      </c>
      <c r="K41" s="119">
        <f>Małopolski!D43</f>
        <v>23</v>
      </c>
      <c r="L41" s="119">
        <f>Mazowiecki!D43</f>
        <v>28</v>
      </c>
      <c r="M41" s="119">
        <f>Opolski!D43</f>
        <v>0</v>
      </c>
      <c r="N41" s="119">
        <f>Podkarpacki!D43</f>
        <v>26</v>
      </c>
      <c r="O41" s="119">
        <f>Podlaski!D43</f>
        <v>18</v>
      </c>
      <c r="P41" s="119">
        <f>Pomorski!D43</f>
        <v>48</v>
      </c>
      <c r="Q41" s="119">
        <f>Śląski!D43</f>
        <v>114</v>
      </c>
      <c r="R41" s="119">
        <f>Świętokrzyski!D43</f>
        <v>7</v>
      </c>
      <c r="S41" s="119">
        <f>WarmińskoMazurski!D43</f>
        <v>26</v>
      </c>
      <c r="T41" s="119">
        <f>Wielkopolski!D43</f>
        <v>48</v>
      </c>
      <c r="U41" s="119">
        <f>Zachodniopomorski!D43</f>
        <v>28</v>
      </c>
    </row>
    <row r="42" spans="1:21" ht="23.25">
      <c r="A42" s="42" t="s">
        <v>41</v>
      </c>
      <c r="B42" s="43" t="s">
        <v>34</v>
      </c>
      <c r="C42" s="118">
        <f t="shared" si="0"/>
        <v>543</v>
      </c>
      <c r="D42" s="119">
        <f>CENTRALA!D44</f>
        <v>30</v>
      </c>
      <c r="E42" s="118">
        <f t="shared" si="1"/>
        <v>513</v>
      </c>
      <c r="F42" s="119">
        <f>Dolnośląski!D44</f>
        <v>68</v>
      </c>
      <c r="G42" s="119">
        <f>KujawskoPomorski!D44</f>
        <v>13</v>
      </c>
      <c r="H42" s="119">
        <f>Lubelski!D44</f>
        <v>0</v>
      </c>
      <c r="I42" s="119">
        <f>Lubuski!D44</f>
        <v>0</v>
      </c>
      <c r="J42" s="119">
        <f>Łódzki!D44</f>
        <v>17</v>
      </c>
      <c r="K42" s="119">
        <f>Małopolski!D44</f>
        <v>50</v>
      </c>
      <c r="L42" s="119">
        <f>Mazowiecki!D44</f>
        <v>40</v>
      </c>
      <c r="M42" s="119">
        <f>Opolski!D44</f>
        <v>8</v>
      </c>
      <c r="N42" s="119">
        <f>Podkarpacki!D44</f>
        <v>12</v>
      </c>
      <c r="O42" s="119">
        <f>Podlaski!D44</f>
        <v>50</v>
      </c>
      <c r="P42" s="119">
        <f>Pomorski!D44</f>
        <v>0</v>
      </c>
      <c r="Q42" s="119">
        <f>Śląski!D44</f>
        <v>8</v>
      </c>
      <c r="R42" s="119">
        <f>Świętokrzyski!D44</f>
        <v>16</v>
      </c>
      <c r="S42" s="119">
        <f>WarmińskoMazurski!D44</f>
        <v>2</v>
      </c>
      <c r="T42" s="119">
        <f>Wielkopolski!D44</f>
        <v>223</v>
      </c>
      <c r="U42" s="119">
        <f>Zachodniopomorski!D44</f>
        <v>6</v>
      </c>
    </row>
    <row r="43" spans="1:21" ht="23.25">
      <c r="A43" s="42" t="s">
        <v>42</v>
      </c>
      <c r="B43" s="43" t="s">
        <v>35</v>
      </c>
      <c r="C43" s="118">
        <f t="shared" si="0"/>
        <v>32</v>
      </c>
      <c r="D43" s="119">
        <f>CENTRALA!D45</f>
        <v>17</v>
      </c>
      <c r="E43" s="118">
        <f t="shared" si="1"/>
        <v>15</v>
      </c>
      <c r="F43" s="119">
        <f>Dolnośląski!D45</f>
        <v>1</v>
      </c>
      <c r="G43" s="119">
        <f>KujawskoPomorski!D45</f>
        <v>0</v>
      </c>
      <c r="H43" s="119">
        <f>Lubelski!D45</f>
        <v>0</v>
      </c>
      <c r="I43" s="119">
        <f>Lubuski!D45</f>
        <v>0</v>
      </c>
      <c r="J43" s="119">
        <f>Łódzki!D45</f>
        <v>0</v>
      </c>
      <c r="K43" s="119">
        <f>Małopolski!D45</f>
        <v>0</v>
      </c>
      <c r="L43" s="119">
        <f>Mazowiecki!D45</f>
        <v>0</v>
      </c>
      <c r="M43" s="119">
        <f>Opolski!D45</f>
        <v>0</v>
      </c>
      <c r="N43" s="119">
        <f>Podkarpacki!D45</f>
        <v>0</v>
      </c>
      <c r="O43" s="119">
        <f>Podlaski!D45</f>
        <v>0</v>
      </c>
      <c r="P43" s="119">
        <f>Pomorski!D45</f>
        <v>6</v>
      </c>
      <c r="Q43" s="119">
        <f>Śląski!D45</f>
        <v>8</v>
      </c>
      <c r="R43" s="119">
        <f>Świętokrzyski!D45</f>
        <v>0</v>
      </c>
      <c r="S43" s="119">
        <f>WarmińskoMazurski!D45</f>
        <v>0</v>
      </c>
      <c r="T43" s="119">
        <f>Wielkopolski!D45</f>
        <v>0</v>
      </c>
      <c r="U43" s="119">
        <f>Zachodniopomorski!D45</f>
        <v>0</v>
      </c>
    </row>
    <row r="44" spans="1:21" ht="23.25">
      <c r="A44" s="42" t="s">
        <v>43</v>
      </c>
      <c r="B44" s="43" t="s">
        <v>36</v>
      </c>
      <c r="C44" s="118">
        <f t="shared" si="0"/>
        <v>0</v>
      </c>
      <c r="D44" s="119">
        <f>CENTRALA!D46</f>
        <v>0</v>
      </c>
      <c r="E44" s="118">
        <f t="shared" si="1"/>
        <v>0</v>
      </c>
      <c r="F44" s="119">
        <f>Dolnośląski!D46</f>
        <v>0</v>
      </c>
      <c r="G44" s="119">
        <f>KujawskoPomorski!D46</f>
        <v>0</v>
      </c>
      <c r="H44" s="119">
        <f>Lubelski!D46</f>
        <v>0</v>
      </c>
      <c r="I44" s="119">
        <f>Lubuski!D46</f>
        <v>0</v>
      </c>
      <c r="J44" s="119">
        <f>Łódzki!D46</f>
        <v>0</v>
      </c>
      <c r="K44" s="119">
        <f>Małopolski!D46</f>
        <v>0</v>
      </c>
      <c r="L44" s="119">
        <f>Mazowiecki!D46</f>
        <v>0</v>
      </c>
      <c r="M44" s="119">
        <f>Opolski!D46</f>
        <v>0</v>
      </c>
      <c r="N44" s="119">
        <f>Podkarpacki!D46</f>
        <v>0</v>
      </c>
      <c r="O44" s="119">
        <f>Podlaski!D46</f>
        <v>0</v>
      </c>
      <c r="P44" s="119">
        <f>Pomorski!D46</f>
        <v>0</v>
      </c>
      <c r="Q44" s="119">
        <f>Śląski!D46</f>
        <v>0</v>
      </c>
      <c r="R44" s="119">
        <f>Świętokrzyski!D46</f>
        <v>0</v>
      </c>
      <c r="S44" s="119">
        <f>WarmińskoMazurski!D46</f>
        <v>0</v>
      </c>
      <c r="T44" s="119">
        <f>Wielkopolski!D46</f>
        <v>0</v>
      </c>
      <c r="U44" s="119">
        <f>Zachodniopomorski!D46</f>
        <v>0</v>
      </c>
    </row>
    <row r="45" spans="1:21" ht="23.25">
      <c r="A45" s="42" t="s">
        <v>44</v>
      </c>
      <c r="B45" s="43" t="s">
        <v>37</v>
      </c>
      <c r="C45" s="118">
        <f t="shared" si="0"/>
        <v>3714</v>
      </c>
      <c r="D45" s="119">
        <f>CENTRALA!D47</f>
        <v>360</v>
      </c>
      <c r="E45" s="118">
        <f t="shared" si="1"/>
        <v>3354</v>
      </c>
      <c r="F45" s="119">
        <f>Dolnośląski!D47</f>
        <v>484</v>
      </c>
      <c r="G45" s="119">
        <f>KujawskoPomorski!D47</f>
        <v>120</v>
      </c>
      <c r="H45" s="119">
        <f>Lubelski!D47</f>
        <v>203</v>
      </c>
      <c r="I45" s="119">
        <f>Lubuski!D47</f>
        <v>114</v>
      </c>
      <c r="J45" s="119">
        <f>Łódzki!D47</f>
        <v>261</v>
      </c>
      <c r="K45" s="119">
        <f>Małopolski!D47</f>
        <v>153</v>
      </c>
      <c r="L45" s="119">
        <f>Mazowiecki!D47</f>
        <v>365</v>
      </c>
      <c r="M45" s="119">
        <f>Opolski!D47</f>
        <v>150</v>
      </c>
      <c r="N45" s="119">
        <f>Podkarpacki!D47</f>
        <v>61</v>
      </c>
      <c r="O45" s="119">
        <f>Podlaski!D47</f>
        <v>155</v>
      </c>
      <c r="P45" s="119">
        <f>Pomorski!D47</f>
        <v>189</v>
      </c>
      <c r="Q45" s="119">
        <f>Śląski!D47</f>
        <v>572</v>
      </c>
      <c r="R45" s="119">
        <f>Świętokrzyski!D47</f>
        <v>34</v>
      </c>
      <c r="S45" s="119">
        <f>WarmińskoMazurski!D47</f>
        <v>71</v>
      </c>
      <c r="T45" s="119">
        <f>Wielkopolski!D47</f>
        <v>238</v>
      </c>
      <c r="U45" s="119">
        <f>Zachodniopomorski!D47</f>
        <v>184</v>
      </c>
    </row>
    <row r="46" spans="1:21" ht="23.25">
      <c r="A46" s="42" t="s">
        <v>45</v>
      </c>
      <c r="B46" s="43" t="s">
        <v>38</v>
      </c>
      <c r="C46" s="118">
        <f t="shared" si="0"/>
        <v>305</v>
      </c>
      <c r="D46" s="119">
        <f>CENTRALA!D48</f>
        <v>40</v>
      </c>
      <c r="E46" s="118">
        <f t="shared" si="1"/>
        <v>265</v>
      </c>
      <c r="F46" s="119">
        <f>Dolnośląski!D48</f>
        <v>1</v>
      </c>
      <c r="G46" s="119">
        <f>KujawskoPomorski!D48</f>
        <v>5</v>
      </c>
      <c r="H46" s="119">
        <f>Lubelski!D48</f>
        <v>10</v>
      </c>
      <c r="I46" s="119">
        <f>Lubuski!D48</f>
        <v>24</v>
      </c>
      <c r="J46" s="119">
        <f>Łódzki!D48</f>
        <v>4</v>
      </c>
      <c r="K46" s="119">
        <f>Małopolski!D48</f>
        <v>55</v>
      </c>
      <c r="L46" s="119">
        <f>Mazowiecki!D48</f>
        <v>28</v>
      </c>
      <c r="M46" s="119">
        <f>Opolski!D48</f>
        <v>6</v>
      </c>
      <c r="N46" s="119">
        <f>Podkarpacki!D48</f>
        <v>33</v>
      </c>
      <c r="O46" s="119">
        <f>Podlaski!D48</f>
        <v>6</v>
      </c>
      <c r="P46" s="119">
        <f>Pomorski!D48</f>
        <v>44</v>
      </c>
      <c r="Q46" s="119">
        <f>Śląski!D48</f>
        <v>17</v>
      </c>
      <c r="R46" s="119">
        <f>Świętokrzyski!D48</f>
        <v>0</v>
      </c>
      <c r="S46" s="119">
        <f>WarmińskoMazurski!D48</f>
        <v>3</v>
      </c>
      <c r="T46" s="119">
        <f>Wielkopolski!D48</f>
        <v>6</v>
      </c>
      <c r="U46" s="119">
        <f>Zachodniopomorski!D48</f>
        <v>23</v>
      </c>
    </row>
    <row r="47" spans="1:21" ht="27.75" customHeight="1">
      <c r="A47" s="31" t="s">
        <v>22</v>
      </c>
      <c r="B47" s="40" t="s">
        <v>178</v>
      </c>
      <c r="C47" s="118">
        <f t="shared" si="0"/>
        <v>312857</v>
      </c>
      <c r="D47" s="119">
        <f>CENTRALA!D49</f>
        <v>32533</v>
      </c>
      <c r="E47" s="118">
        <f t="shared" si="1"/>
        <v>280324</v>
      </c>
      <c r="F47" s="119">
        <f>Dolnośląski!D49</f>
        <v>20213</v>
      </c>
      <c r="G47" s="119">
        <f>KujawskoPomorski!D49</f>
        <v>14287</v>
      </c>
      <c r="H47" s="119">
        <f>Lubelski!D49</f>
        <v>14925</v>
      </c>
      <c r="I47" s="119">
        <f>Lubuski!D49</f>
        <v>8273</v>
      </c>
      <c r="J47" s="119">
        <f>Łódzki!D49</f>
        <v>17343</v>
      </c>
      <c r="K47" s="119">
        <f>Małopolski!D49</f>
        <v>21915</v>
      </c>
      <c r="L47" s="119">
        <f>Mazowiecki!D49</f>
        <v>40421</v>
      </c>
      <c r="M47" s="119">
        <f>Opolski!D49</f>
        <v>8437</v>
      </c>
      <c r="N47" s="119">
        <f>Podkarpacki!D49</f>
        <v>13411</v>
      </c>
      <c r="O47" s="119">
        <f>Podlaski!D49</f>
        <v>9427</v>
      </c>
      <c r="P47" s="119">
        <f>Pomorski!D49</f>
        <v>18335</v>
      </c>
      <c r="Q47" s="119">
        <f>Śląski!D49</f>
        <v>36801</v>
      </c>
      <c r="R47" s="119">
        <f>Świętokrzyski!D49</f>
        <v>10329</v>
      </c>
      <c r="S47" s="119">
        <f>WarmińskoMazurski!D49</f>
        <v>10841</v>
      </c>
      <c r="T47" s="119">
        <f>Wielkopolski!D49</f>
        <v>22743</v>
      </c>
      <c r="U47" s="119">
        <f>Zachodniopomorski!D49</f>
        <v>12623</v>
      </c>
    </row>
    <row r="48" spans="1:21" ht="23.25">
      <c r="A48" s="42" t="s">
        <v>179</v>
      </c>
      <c r="B48" s="43" t="s">
        <v>180</v>
      </c>
      <c r="C48" s="118">
        <f t="shared" si="0"/>
        <v>1555</v>
      </c>
      <c r="D48" s="119">
        <f>CENTRALA!D50</f>
        <v>372</v>
      </c>
      <c r="E48" s="118">
        <f t="shared" si="1"/>
        <v>1183</v>
      </c>
      <c r="F48" s="119">
        <f>Dolnośląski!D50</f>
        <v>120</v>
      </c>
      <c r="G48" s="119">
        <f>KujawskoPomorski!D50</f>
        <v>20</v>
      </c>
      <c r="H48" s="119">
        <f>Lubelski!D50</f>
        <v>144</v>
      </c>
      <c r="I48" s="119">
        <f>Lubuski!D50</f>
        <v>43</v>
      </c>
      <c r="J48" s="119">
        <f>Łódzki!D50</f>
        <v>90</v>
      </c>
      <c r="K48" s="119">
        <f>Małopolski!D50</f>
        <v>24</v>
      </c>
      <c r="L48" s="119">
        <f>Mazowiecki!D50</f>
        <v>89</v>
      </c>
      <c r="M48" s="119">
        <f>Opolski!D50</f>
        <v>20</v>
      </c>
      <c r="N48" s="119">
        <f>Podkarpacki!D50</f>
        <v>10</v>
      </c>
      <c r="O48" s="119">
        <f>Podlaski!D50</f>
        <v>21</v>
      </c>
      <c r="P48" s="119">
        <f>Pomorski!D50</f>
        <v>100</v>
      </c>
      <c r="Q48" s="119">
        <f>Śląski!D50</f>
        <v>250</v>
      </c>
      <c r="R48" s="119">
        <f>Świętokrzyski!D50</f>
        <v>40</v>
      </c>
      <c r="S48" s="119">
        <f>WarmińskoMazurski!D50</f>
        <v>39</v>
      </c>
      <c r="T48" s="119">
        <f>Wielkopolski!D50</f>
        <v>123</v>
      </c>
      <c r="U48" s="119">
        <f>Zachodniopomorski!D50</f>
        <v>50</v>
      </c>
    </row>
    <row r="49" spans="1:21" ht="27.75" customHeight="1">
      <c r="A49" s="31" t="s">
        <v>23</v>
      </c>
      <c r="B49" s="41" t="s">
        <v>54</v>
      </c>
      <c r="C49" s="118">
        <f t="shared" si="0"/>
        <v>70321</v>
      </c>
      <c r="D49" s="119">
        <f>CENTRALA!D51</f>
        <v>8161</v>
      </c>
      <c r="E49" s="118">
        <f t="shared" si="1"/>
        <v>62160</v>
      </c>
      <c r="F49" s="119">
        <f>Dolnośląski!D51</f>
        <v>4482</v>
      </c>
      <c r="G49" s="119">
        <f>KujawskoPomorski!D51</f>
        <v>3168</v>
      </c>
      <c r="H49" s="119">
        <f>Lubelski!D51</f>
        <v>3307</v>
      </c>
      <c r="I49" s="119">
        <f>Lubuski!D51</f>
        <v>1836</v>
      </c>
      <c r="J49" s="119">
        <f>Łódzki!D51</f>
        <v>3844</v>
      </c>
      <c r="K49" s="119">
        <f>Małopolski!D51</f>
        <v>4864</v>
      </c>
      <c r="L49" s="119">
        <f>Mazowiecki!D51</f>
        <v>8938</v>
      </c>
      <c r="M49" s="119">
        <f>Opolski!D51</f>
        <v>1893</v>
      </c>
      <c r="N49" s="119">
        <f>Podkarpacki!D51</f>
        <v>2975</v>
      </c>
      <c r="O49" s="119">
        <f>Podlaski!D51</f>
        <v>2096</v>
      </c>
      <c r="P49" s="119">
        <f>Pomorski!D51</f>
        <v>4073</v>
      </c>
      <c r="Q49" s="119">
        <f>Śląski!D51</f>
        <v>8153</v>
      </c>
      <c r="R49" s="119">
        <f>Świętokrzyski!D51</f>
        <v>2294</v>
      </c>
      <c r="S49" s="119">
        <f>WarmińskoMazurski!D51</f>
        <v>2398</v>
      </c>
      <c r="T49" s="119">
        <f>Wielkopolski!D51</f>
        <v>5036</v>
      </c>
      <c r="U49" s="119">
        <f>Zachodniopomorski!D51</f>
        <v>2803</v>
      </c>
    </row>
    <row r="50" spans="1:21" ht="23.25">
      <c r="A50" s="42" t="s">
        <v>50</v>
      </c>
      <c r="B50" s="43" t="s">
        <v>46</v>
      </c>
      <c r="C50" s="118">
        <f t="shared" si="0"/>
        <v>53474</v>
      </c>
      <c r="D50" s="119">
        <f>CENTRALA!D52</f>
        <v>5601</v>
      </c>
      <c r="E50" s="118">
        <f t="shared" si="1"/>
        <v>47873</v>
      </c>
      <c r="F50" s="119">
        <f>Dolnośląski!D52</f>
        <v>3345</v>
      </c>
      <c r="G50" s="119">
        <f>KujawskoPomorski!D52</f>
        <v>2343</v>
      </c>
      <c r="H50" s="119">
        <f>Lubelski!D52</f>
        <v>2566</v>
      </c>
      <c r="I50" s="119">
        <f>Lubuski!D52</f>
        <v>1422</v>
      </c>
      <c r="J50" s="119">
        <f>Łódzki!D52</f>
        <v>2981</v>
      </c>
      <c r="K50" s="119">
        <f>Małopolski!D52</f>
        <v>3737</v>
      </c>
      <c r="L50" s="119">
        <f>Mazowiecki!D52</f>
        <v>6948</v>
      </c>
      <c r="M50" s="119">
        <f>Opolski!D52</f>
        <v>1450</v>
      </c>
      <c r="N50" s="119">
        <f>Podkarpacki!D52</f>
        <v>2305</v>
      </c>
      <c r="O50" s="119">
        <f>Podlaski!D52</f>
        <v>1580</v>
      </c>
      <c r="P50" s="119">
        <f>Pomorski!D52</f>
        <v>3152</v>
      </c>
      <c r="Q50" s="119">
        <f>Śląski!D52</f>
        <v>6325</v>
      </c>
      <c r="R50" s="119">
        <f>Świętokrzyski!D52</f>
        <v>1776</v>
      </c>
      <c r="S50" s="119">
        <f>WarmińskoMazurski!D52</f>
        <v>1864</v>
      </c>
      <c r="T50" s="119">
        <f>Wielkopolski!D52</f>
        <v>3910</v>
      </c>
      <c r="U50" s="119">
        <f>Zachodniopomorski!D52</f>
        <v>2169</v>
      </c>
    </row>
    <row r="51" spans="1:21" ht="23.25">
      <c r="A51" s="42" t="s">
        <v>51</v>
      </c>
      <c r="B51" s="43" t="s">
        <v>47</v>
      </c>
      <c r="C51" s="118">
        <f t="shared" si="0"/>
        <v>7548</v>
      </c>
      <c r="D51" s="119">
        <f>CENTRALA!D53</f>
        <v>799</v>
      </c>
      <c r="E51" s="118">
        <f t="shared" si="1"/>
        <v>6749</v>
      </c>
      <c r="F51" s="119">
        <f>Dolnośląski!D53</f>
        <v>495</v>
      </c>
      <c r="G51" s="119">
        <f>KujawskoPomorski!D53</f>
        <v>271</v>
      </c>
      <c r="H51" s="119">
        <f>Lubelski!D53</f>
        <v>365</v>
      </c>
      <c r="I51" s="119">
        <f>Lubuski!D53</f>
        <v>203</v>
      </c>
      <c r="J51" s="119">
        <f>Łódzki!D53</f>
        <v>425</v>
      </c>
      <c r="K51" s="119">
        <f>Małopolski!D53</f>
        <v>517</v>
      </c>
      <c r="L51" s="119">
        <f>Mazowiecki!D53</f>
        <v>991</v>
      </c>
      <c r="M51" s="119">
        <f>Opolski!D53</f>
        <v>207</v>
      </c>
      <c r="N51" s="119">
        <f>Podkarpacki!D53</f>
        <v>328</v>
      </c>
      <c r="O51" s="119">
        <f>Podlaski!D53</f>
        <v>231</v>
      </c>
      <c r="P51" s="119">
        <f>Pomorski!D53</f>
        <v>449</v>
      </c>
      <c r="Q51" s="119">
        <f>Śląski!D53</f>
        <v>902</v>
      </c>
      <c r="R51" s="119">
        <f>Świętokrzyski!D53</f>
        <v>253</v>
      </c>
      <c r="S51" s="119">
        <f>WarmińskoMazurski!D53</f>
        <v>245</v>
      </c>
      <c r="T51" s="119">
        <f>Wielkopolski!D53</f>
        <v>557</v>
      </c>
      <c r="U51" s="119">
        <f>Zachodniopomorski!D53</f>
        <v>310</v>
      </c>
    </row>
    <row r="52" spans="1:21" ht="23.25">
      <c r="A52" s="42" t="s">
        <v>52</v>
      </c>
      <c r="B52" s="43" t="s">
        <v>48</v>
      </c>
      <c r="C52" s="118">
        <f t="shared" si="0"/>
        <v>0</v>
      </c>
      <c r="D52" s="119">
        <f>CENTRALA!D54</f>
        <v>0</v>
      </c>
      <c r="E52" s="118">
        <f t="shared" si="1"/>
        <v>0</v>
      </c>
      <c r="F52" s="119">
        <f>Dolnośląski!D54</f>
        <v>0</v>
      </c>
      <c r="G52" s="119">
        <f>KujawskoPomorski!D54</f>
        <v>0</v>
      </c>
      <c r="H52" s="119">
        <f>Lubelski!D54</f>
        <v>0</v>
      </c>
      <c r="I52" s="119">
        <f>Lubuski!D54</f>
        <v>0</v>
      </c>
      <c r="J52" s="119">
        <f>Łódzki!D54</f>
        <v>0</v>
      </c>
      <c r="K52" s="119">
        <f>Małopolski!D54</f>
        <v>0</v>
      </c>
      <c r="L52" s="119">
        <f>Mazowiecki!D54</f>
        <v>0</v>
      </c>
      <c r="M52" s="119">
        <f>Opolski!D54</f>
        <v>0</v>
      </c>
      <c r="N52" s="119">
        <f>Podkarpacki!D54</f>
        <v>0</v>
      </c>
      <c r="O52" s="119">
        <f>Podlaski!D54</f>
        <v>0</v>
      </c>
      <c r="P52" s="119">
        <f>Pomorski!D54</f>
        <v>0</v>
      </c>
      <c r="Q52" s="119">
        <f>Śląski!D54</f>
        <v>0</v>
      </c>
      <c r="R52" s="119">
        <f>Świętokrzyski!D54</f>
        <v>0</v>
      </c>
      <c r="S52" s="119">
        <f>WarmińskoMazurski!D54</f>
        <v>0</v>
      </c>
      <c r="T52" s="119">
        <f>Wielkopolski!D54</f>
        <v>0</v>
      </c>
      <c r="U52" s="119">
        <f>Zachodniopomorski!D54</f>
        <v>0</v>
      </c>
    </row>
    <row r="53" spans="1:21" ht="23.25">
      <c r="A53" s="42" t="s">
        <v>53</v>
      </c>
      <c r="B53" s="43" t="s">
        <v>49</v>
      </c>
      <c r="C53" s="118">
        <f t="shared" si="0"/>
        <v>9299</v>
      </c>
      <c r="D53" s="119">
        <f>CENTRALA!D55</f>
        <v>1761</v>
      </c>
      <c r="E53" s="118">
        <f t="shared" si="1"/>
        <v>7538</v>
      </c>
      <c r="F53" s="119">
        <f>Dolnośląski!D55</f>
        <v>642</v>
      </c>
      <c r="G53" s="119">
        <f>KujawskoPomorski!D55</f>
        <v>554</v>
      </c>
      <c r="H53" s="119">
        <f>Lubelski!D55</f>
        <v>376</v>
      </c>
      <c r="I53" s="119">
        <f>Lubuski!D55</f>
        <v>211</v>
      </c>
      <c r="J53" s="119">
        <f>Łódzki!D55</f>
        <v>438</v>
      </c>
      <c r="K53" s="119">
        <f>Małopolski!D55</f>
        <v>610</v>
      </c>
      <c r="L53" s="119">
        <f>Mazowiecki!D55</f>
        <v>999</v>
      </c>
      <c r="M53" s="119">
        <f>Opolski!D55</f>
        <v>236</v>
      </c>
      <c r="N53" s="119">
        <f>Podkarpacki!D55</f>
        <v>342</v>
      </c>
      <c r="O53" s="119">
        <f>Podlaski!D55</f>
        <v>285</v>
      </c>
      <c r="P53" s="119">
        <f>Pomorski!D55</f>
        <v>472</v>
      </c>
      <c r="Q53" s="119">
        <f>Śląski!D55</f>
        <v>926</v>
      </c>
      <c r="R53" s="119">
        <f>Świętokrzyski!D55</f>
        <v>265</v>
      </c>
      <c r="S53" s="119">
        <f>WarmińskoMazurski!D55</f>
        <v>289</v>
      </c>
      <c r="T53" s="119">
        <f>Wielkopolski!D55</f>
        <v>569</v>
      </c>
      <c r="U53" s="119">
        <f>Zachodniopomorski!D55</f>
        <v>324</v>
      </c>
    </row>
    <row r="54" spans="1:21" ht="27.75" customHeight="1">
      <c r="A54" s="31" t="s">
        <v>24</v>
      </c>
      <c r="B54" s="40" t="s">
        <v>25</v>
      </c>
      <c r="C54" s="118">
        <f t="shared" si="0"/>
        <v>50</v>
      </c>
      <c r="D54" s="119">
        <f>CENTRALA!D56</f>
        <v>50</v>
      </c>
      <c r="E54" s="118">
        <f t="shared" si="1"/>
        <v>0</v>
      </c>
      <c r="F54" s="119">
        <f>Dolnośląski!D56</f>
        <v>0</v>
      </c>
      <c r="G54" s="119">
        <f>KujawskoPomorski!D56</f>
        <v>0</v>
      </c>
      <c r="H54" s="119">
        <f>Lubelski!D56</f>
        <v>0</v>
      </c>
      <c r="I54" s="119">
        <f>Lubuski!D56</f>
        <v>0</v>
      </c>
      <c r="J54" s="119">
        <f>Łódzki!D56</f>
        <v>0</v>
      </c>
      <c r="K54" s="119">
        <f>Małopolski!D56</f>
        <v>0</v>
      </c>
      <c r="L54" s="119">
        <f>Mazowiecki!D56</f>
        <v>0</v>
      </c>
      <c r="M54" s="119">
        <f>Opolski!D56</f>
        <v>0</v>
      </c>
      <c r="N54" s="119">
        <f>Podkarpacki!D56</f>
        <v>0</v>
      </c>
      <c r="O54" s="119">
        <f>Podlaski!D56</f>
        <v>0</v>
      </c>
      <c r="P54" s="119">
        <f>Pomorski!D56</f>
        <v>0</v>
      </c>
      <c r="Q54" s="119">
        <f>Śląski!D56</f>
        <v>0</v>
      </c>
      <c r="R54" s="119">
        <f>Świętokrzyski!D56</f>
        <v>0</v>
      </c>
      <c r="S54" s="119">
        <f>WarmińskoMazurski!D56</f>
        <v>0</v>
      </c>
      <c r="T54" s="119">
        <f>Wielkopolski!D56</f>
        <v>0</v>
      </c>
      <c r="U54" s="119">
        <f>Zachodniopomorski!D56</f>
        <v>0</v>
      </c>
    </row>
    <row r="55" spans="1:21" ht="27.75" customHeight="1">
      <c r="A55" s="31" t="s">
        <v>26</v>
      </c>
      <c r="B55" s="40" t="s">
        <v>181</v>
      </c>
      <c r="C55" s="118">
        <f t="shared" si="0"/>
        <v>113871</v>
      </c>
      <c r="D55" s="119">
        <f>CENTRALA!D57</f>
        <v>57574</v>
      </c>
      <c r="E55" s="118">
        <f>SUM(F55:U55)</f>
        <v>56297</v>
      </c>
      <c r="F55" s="119">
        <f>Dolnośląski!D57</f>
        <v>7170</v>
      </c>
      <c r="G55" s="119">
        <f>KujawskoPomorski!D57</f>
        <v>1606</v>
      </c>
      <c r="H55" s="119">
        <f>Lubelski!D57</f>
        <v>1722</v>
      </c>
      <c r="I55" s="119">
        <f>Lubuski!D57</f>
        <v>2000</v>
      </c>
      <c r="J55" s="119">
        <f>Łódzki!D57</f>
        <v>2495</v>
      </c>
      <c r="K55" s="119">
        <f>Małopolski!D57</f>
        <v>7200</v>
      </c>
      <c r="L55" s="119">
        <f>Mazowiecki!D57</f>
        <v>3622</v>
      </c>
      <c r="M55" s="119">
        <f>Opolski!D57</f>
        <v>3660</v>
      </c>
      <c r="N55" s="119">
        <f>Podkarpacki!D57</f>
        <v>4400</v>
      </c>
      <c r="O55" s="119">
        <f>Podlaski!D57</f>
        <v>1044</v>
      </c>
      <c r="P55" s="119">
        <f>Pomorski!D57</f>
        <v>5208</v>
      </c>
      <c r="Q55" s="119">
        <f>Śląski!D57</f>
        <v>5406</v>
      </c>
      <c r="R55" s="119">
        <f>Świętokrzyski!D57</f>
        <v>2580</v>
      </c>
      <c r="S55" s="119">
        <f>WarmińskoMazurski!D57</f>
        <v>2486</v>
      </c>
      <c r="T55" s="119">
        <f>Wielkopolski!D57</f>
        <v>4270</v>
      </c>
      <c r="U55" s="119">
        <f>Zachodniopomorski!D57</f>
        <v>1428</v>
      </c>
    </row>
    <row r="56" spans="1:21" ht="27.75" customHeight="1">
      <c r="A56" s="31" t="s">
        <v>27</v>
      </c>
      <c r="B56" s="40" t="s">
        <v>28</v>
      </c>
      <c r="C56" s="118">
        <f t="shared" si="0"/>
        <v>7661</v>
      </c>
      <c r="D56" s="119">
        <f>CENTRALA!D58</f>
        <v>2140</v>
      </c>
      <c r="E56" s="118">
        <f t="shared" si="1"/>
        <v>5521</v>
      </c>
      <c r="F56" s="119">
        <f>Dolnośląski!D58</f>
        <v>331</v>
      </c>
      <c r="G56" s="119">
        <f>KujawskoPomorski!D58</f>
        <v>593</v>
      </c>
      <c r="H56" s="119">
        <f>Lubelski!D58</f>
        <v>278</v>
      </c>
      <c r="I56" s="119">
        <f>Lubuski!D58</f>
        <v>285</v>
      </c>
      <c r="J56" s="119">
        <f>Łódzki!D58</f>
        <v>268</v>
      </c>
      <c r="K56" s="119">
        <f>Małopolski!D58</f>
        <v>300</v>
      </c>
      <c r="L56" s="119">
        <f>Mazowiecki!D58</f>
        <v>1132</v>
      </c>
      <c r="M56" s="119">
        <f>Opolski!D58</f>
        <v>241</v>
      </c>
      <c r="N56" s="119">
        <f>Podkarpacki!D58</f>
        <v>248</v>
      </c>
      <c r="O56" s="119">
        <f>Podlaski!D58</f>
        <v>255</v>
      </c>
      <c r="P56" s="119">
        <f>Pomorski!D58</f>
        <v>261</v>
      </c>
      <c r="Q56" s="119">
        <f>Śląski!D58</f>
        <v>320</v>
      </c>
      <c r="R56" s="119">
        <f>Świętokrzyski!D58</f>
        <v>168</v>
      </c>
      <c r="S56" s="119">
        <f>WarmińskoMazurski!D58</f>
        <v>153</v>
      </c>
      <c r="T56" s="119">
        <f>Wielkopolski!D58</f>
        <v>479</v>
      </c>
      <c r="U56" s="119">
        <f>Zachodniopomorski!D58</f>
        <v>209</v>
      </c>
    </row>
    <row r="57" spans="1:21" ht="30" customHeight="1">
      <c r="A57" s="124" t="s">
        <v>29</v>
      </c>
      <c r="B57" s="122" t="s">
        <v>182</v>
      </c>
      <c r="C57" s="131">
        <f t="shared" si="0"/>
        <v>264831</v>
      </c>
      <c r="D57" s="131">
        <f>CENTRALA!D59</f>
        <v>53634</v>
      </c>
      <c r="E57" s="131">
        <f>SUM(F57:U57)</f>
        <v>211197</v>
      </c>
      <c r="F57" s="131">
        <f>Dolnośląski!D59</f>
        <v>11822</v>
      </c>
      <c r="G57" s="131">
        <f>KujawskoPomorski!D59</f>
        <v>39080</v>
      </c>
      <c r="H57" s="131">
        <f>Lubelski!D59</f>
        <v>28943</v>
      </c>
      <c r="I57" s="131">
        <f>Lubuski!D59</f>
        <v>4100</v>
      </c>
      <c r="J57" s="131">
        <f>Łódzki!D59</f>
        <v>9990</v>
      </c>
      <c r="K57" s="131">
        <f>Małopolski!D59</f>
        <v>19500</v>
      </c>
      <c r="L57" s="131">
        <f>Mazowiecki!D59</f>
        <v>38341</v>
      </c>
      <c r="M57" s="131">
        <f>Opolski!D59</f>
        <v>1263</v>
      </c>
      <c r="N57" s="131">
        <f>Podkarpacki!D59</f>
        <v>8270</v>
      </c>
      <c r="O57" s="131">
        <f>Podlaski!D59</f>
        <v>321</v>
      </c>
      <c r="P57" s="131">
        <f>Pomorski!D59</f>
        <v>4300</v>
      </c>
      <c r="Q57" s="131">
        <f>Śląski!D59</f>
        <v>5036</v>
      </c>
      <c r="R57" s="131">
        <f>Świętokrzyski!D59</f>
        <v>9000</v>
      </c>
      <c r="S57" s="131">
        <f>WarmińskoMazurski!D59</f>
        <v>14693</v>
      </c>
      <c r="T57" s="131">
        <f>Wielkopolski!D59</f>
        <v>16174</v>
      </c>
      <c r="U57" s="131">
        <f>Zachodniopomorski!D59</f>
        <v>364</v>
      </c>
    </row>
    <row r="58" spans="1:21" ht="40.5">
      <c r="A58" s="31" t="s">
        <v>102</v>
      </c>
      <c r="B58" s="40" t="s">
        <v>124</v>
      </c>
      <c r="C58" s="118">
        <f t="shared" si="0"/>
        <v>712</v>
      </c>
      <c r="D58" s="119">
        <f>CENTRALA!D60</f>
        <v>338</v>
      </c>
      <c r="E58" s="118">
        <f t="shared" si="1"/>
        <v>374</v>
      </c>
      <c r="F58" s="119">
        <f>Dolnośląski!D60</f>
        <v>20</v>
      </c>
      <c r="G58" s="119">
        <f>KujawskoPomorski!D60</f>
        <v>0</v>
      </c>
      <c r="H58" s="119">
        <f>Lubelski!D60</f>
        <v>0</v>
      </c>
      <c r="I58" s="119">
        <f>Lubuski!D60</f>
        <v>0</v>
      </c>
      <c r="J58" s="119">
        <f>Łódzki!D60</f>
        <v>0</v>
      </c>
      <c r="K58" s="119">
        <f>Małopolski!D60</f>
        <v>0</v>
      </c>
      <c r="L58" s="119">
        <f>Mazowiecki!D60</f>
        <v>0</v>
      </c>
      <c r="M58" s="119">
        <f>Opolski!D60</f>
        <v>0</v>
      </c>
      <c r="N58" s="119">
        <f>Podkarpacki!D60</f>
        <v>0</v>
      </c>
      <c r="O58" s="119">
        <f>Podlaski!D60</f>
        <v>1</v>
      </c>
      <c r="P58" s="119">
        <f>Pomorski!D60</f>
        <v>35</v>
      </c>
      <c r="Q58" s="119">
        <f>Śląski!D60</f>
        <v>264</v>
      </c>
      <c r="R58" s="119">
        <f>Świętokrzyski!D60</f>
        <v>0</v>
      </c>
      <c r="S58" s="119">
        <f>WarmińskoMazurski!D60</f>
        <v>4</v>
      </c>
      <c r="T58" s="119">
        <f>Wielkopolski!D60</f>
        <v>50</v>
      </c>
      <c r="U58" s="119">
        <f>Zachodniopomorski!D60</f>
        <v>0</v>
      </c>
    </row>
    <row r="59" spans="1:21" ht="30" customHeight="1">
      <c r="A59" s="31" t="s">
        <v>30</v>
      </c>
      <c r="B59" s="40" t="s">
        <v>56</v>
      </c>
      <c r="C59" s="118">
        <f t="shared" si="0"/>
        <v>171615</v>
      </c>
      <c r="D59" s="119">
        <f>CENTRALA!D61</f>
        <v>340</v>
      </c>
      <c r="E59" s="118">
        <f t="shared" si="1"/>
        <v>171275</v>
      </c>
      <c r="F59" s="119">
        <f>Dolnośląski!D61</f>
        <v>5803</v>
      </c>
      <c r="G59" s="119">
        <f>KujawskoPomorski!D61</f>
        <v>38511</v>
      </c>
      <c r="H59" s="119">
        <f>Lubelski!D61</f>
        <v>27443</v>
      </c>
      <c r="I59" s="119">
        <f>Lubuski!D61</f>
        <v>3600</v>
      </c>
      <c r="J59" s="119">
        <f>Łódzki!D61</f>
        <v>9670</v>
      </c>
      <c r="K59" s="119">
        <f>Małopolski!D61</f>
        <v>12500</v>
      </c>
      <c r="L59" s="119">
        <f>Mazowiecki!D61</f>
        <v>27042</v>
      </c>
      <c r="M59" s="119">
        <f>Opolski!D61</f>
        <v>1116</v>
      </c>
      <c r="N59" s="119">
        <f>Podkarpacki!D61</f>
        <v>7600</v>
      </c>
      <c r="O59" s="119">
        <f>Podlaski!D61</f>
        <v>150</v>
      </c>
      <c r="P59" s="119">
        <f>Pomorski!D61</f>
        <v>65</v>
      </c>
      <c r="Q59" s="119">
        <f>Śląski!D61</f>
        <v>991</v>
      </c>
      <c r="R59" s="119">
        <f>Świętokrzyski!D61</f>
        <v>8000</v>
      </c>
      <c r="S59" s="119">
        <f>WarmińskoMazurski!D61</f>
        <v>13160</v>
      </c>
      <c r="T59" s="119">
        <f>Wielkopolski!D61</f>
        <v>15624</v>
      </c>
      <c r="U59" s="119">
        <f>Zachodniopomorski!D61</f>
        <v>0</v>
      </c>
    </row>
    <row r="60" spans="1:21" ht="30" customHeight="1">
      <c r="A60" s="31" t="s">
        <v>31</v>
      </c>
      <c r="B60" s="40" t="s">
        <v>104</v>
      </c>
      <c r="C60" s="118">
        <f t="shared" si="0"/>
        <v>46737</v>
      </c>
      <c r="D60" s="119">
        <f>CENTRALA!D62</f>
        <v>46737</v>
      </c>
      <c r="E60" s="118">
        <f t="shared" si="1"/>
        <v>0</v>
      </c>
      <c r="F60" s="119">
        <f>Dolnośląski!D62</f>
        <v>0</v>
      </c>
      <c r="G60" s="119">
        <f>KujawskoPomorski!D62</f>
        <v>0</v>
      </c>
      <c r="H60" s="119">
        <f>Lubelski!D62</f>
        <v>0</v>
      </c>
      <c r="I60" s="119">
        <f>Lubuski!D62</f>
        <v>0</v>
      </c>
      <c r="J60" s="119">
        <f>Łódzki!D62</f>
        <v>0</v>
      </c>
      <c r="K60" s="119">
        <f>Małopolski!D62</f>
        <v>0</v>
      </c>
      <c r="L60" s="119">
        <f>Mazowiecki!D62</f>
        <v>0</v>
      </c>
      <c r="M60" s="119">
        <f>Opolski!D62</f>
        <v>0</v>
      </c>
      <c r="N60" s="119">
        <f>Podkarpacki!D62</f>
        <v>0</v>
      </c>
      <c r="O60" s="119">
        <f>Podlaski!D62</f>
        <v>0</v>
      </c>
      <c r="P60" s="119">
        <f>Pomorski!D62</f>
        <v>0</v>
      </c>
      <c r="Q60" s="119">
        <f>Śląski!D62</f>
        <v>0</v>
      </c>
      <c r="R60" s="119">
        <f>Świętokrzyski!D62</f>
        <v>0</v>
      </c>
      <c r="S60" s="119">
        <f>WarmińskoMazurski!D62</f>
        <v>0</v>
      </c>
      <c r="T60" s="119">
        <f>Wielkopolski!D62</f>
        <v>0</v>
      </c>
      <c r="U60" s="119">
        <f>Zachodniopomorski!D62</f>
        <v>0</v>
      </c>
    </row>
    <row r="61" spans="1:21" ht="30" customHeight="1">
      <c r="A61" s="31" t="s">
        <v>103</v>
      </c>
      <c r="B61" s="40" t="s">
        <v>105</v>
      </c>
      <c r="C61" s="118">
        <f t="shared" si="0"/>
        <v>45767</v>
      </c>
      <c r="D61" s="119">
        <f>CENTRALA!D63</f>
        <v>6219</v>
      </c>
      <c r="E61" s="118">
        <f t="shared" si="1"/>
        <v>39548</v>
      </c>
      <c r="F61" s="119">
        <f>Dolnośląski!D63</f>
        <v>5999</v>
      </c>
      <c r="G61" s="119">
        <f>KujawskoPomorski!D63</f>
        <v>569</v>
      </c>
      <c r="H61" s="119">
        <f>Lubelski!D63</f>
        <v>1500</v>
      </c>
      <c r="I61" s="119">
        <f>Lubuski!D63</f>
        <v>500</v>
      </c>
      <c r="J61" s="119">
        <f>Łódzki!D63</f>
        <v>320</v>
      </c>
      <c r="K61" s="119">
        <f>Małopolski!D63</f>
        <v>7000</v>
      </c>
      <c r="L61" s="119">
        <f>Mazowiecki!D63</f>
        <v>11299</v>
      </c>
      <c r="M61" s="119">
        <f>Opolski!D63</f>
        <v>147</v>
      </c>
      <c r="N61" s="119">
        <f>Podkarpacki!D63</f>
        <v>670</v>
      </c>
      <c r="O61" s="119">
        <f>Podlaski!D63</f>
        <v>170</v>
      </c>
      <c r="P61" s="119">
        <f>Pomorski!D63</f>
        <v>4200</v>
      </c>
      <c r="Q61" s="119">
        <f>Śląski!D63</f>
        <v>3781</v>
      </c>
      <c r="R61" s="119">
        <f>Świętokrzyski!D63</f>
        <v>1000</v>
      </c>
      <c r="S61" s="119">
        <f>WarmińskoMazurski!D63</f>
        <v>1529</v>
      </c>
      <c r="T61" s="119">
        <f>Wielkopolski!D63</f>
        <v>500</v>
      </c>
      <c r="U61" s="119">
        <f>Zachodniopomorski!D63</f>
        <v>364</v>
      </c>
    </row>
    <row r="62" spans="1:21" ht="30" customHeight="1">
      <c r="A62" s="124" t="s">
        <v>110</v>
      </c>
      <c r="B62" s="122" t="s">
        <v>129</v>
      </c>
      <c r="C62" s="123">
        <f t="shared" si="0"/>
        <v>80377</v>
      </c>
      <c r="D62" s="123">
        <f>CENTRALA!D64</f>
        <v>6119</v>
      </c>
      <c r="E62" s="123">
        <f t="shared" si="1"/>
        <v>74258</v>
      </c>
      <c r="F62" s="123">
        <f>Dolnośląski!D64</f>
        <v>3292</v>
      </c>
      <c r="G62" s="123">
        <f>KujawskoPomorski!D64</f>
        <v>14083</v>
      </c>
      <c r="H62" s="123">
        <f>Lubelski!D64</f>
        <v>594</v>
      </c>
      <c r="I62" s="123">
        <f>Lubuski!D64</f>
        <v>1450</v>
      </c>
      <c r="J62" s="123">
        <f>Łódzki!D64</f>
        <v>3950</v>
      </c>
      <c r="K62" s="123">
        <f>Małopolski!D64</f>
        <v>5900</v>
      </c>
      <c r="L62" s="123">
        <f>Mazowiecki!D64</f>
        <v>28724</v>
      </c>
      <c r="M62" s="123">
        <f>Opolski!D64</f>
        <v>173</v>
      </c>
      <c r="N62" s="123">
        <f>Podkarpacki!D64</f>
        <v>24</v>
      </c>
      <c r="O62" s="123">
        <f>Podlaski!D64</f>
        <v>65</v>
      </c>
      <c r="P62" s="123">
        <f>Pomorski!D64</f>
        <v>2000</v>
      </c>
      <c r="Q62" s="123">
        <f>Śląski!D64</f>
        <v>2201</v>
      </c>
      <c r="R62" s="123">
        <f>Świętokrzyski!D64</f>
        <v>3885</v>
      </c>
      <c r="S62" s="123">
        <f>WarmińskoMazurski!D64</f>
        <v>580</v>
      </c>
      <c r="T62" s="123">
        <f>Wielkopolski!D64</f>
        <v>7332</v>
      </c>
      <c r="U62" s="123">
        <f>Zachodniopomorski!D64</f>
        <v>5</v>
      </c>
    </row>
    <row r="68" spans="16:21" ht="42.75" customHeight="1">
      <c r="P68" s="126"/>
      <c r="Q68" s="126"/>
      <c r="R68" s="126"/>
      <c r="S68" s="126"/>
      <c r="T68" s="126"/>
      <c r="U68" s="126"/>
    </row>
    <row r="69" spans="17:19" ht="23.25">
      <c r="Q69" s="126"/>
      <c r="R69" s="126"/>
      <c r="S69" s="126"/>
    </row>
    <row r="70" spans="17:19" ht="23.25">
      <c r="Q70" s="126"/>
      <c r="R70" s="126"/>
      <c r="S70" s="126"/>
    </row>
    <row r="71" spans="17:19" ht="23.25">
      <c r="Q71" s="126"/>
      <c r="R71" s="126"/>
      <c r="S71" s="126"/>
    </row>
    <row r="72" spans="17:20" ht="23.25">
      <c r="Q72" s="126"/>
      <c r="R72" s="126"/>
      <c r="S72" s="126"/>
      <c r="T72" s="126"/>
    </row>
    <row r="73" spans="17:19" ht="23.25">
      <c r="Q73" s="126"/>
      <c r="R73" s="126"/>
      <c r="S73" s="126"/>
    </row>
    <row r="74" spans="17:19" ht="23.25">
      <c r="Q74" s="126"/>
      <c r="R74" s="126"/>
      <c r="S74" s="126"/>
    </row>
    <row r="75" spans="17:19" ht="23.25">
      <c r="Q75" s="126"/>
      <c r="R75" s="126"/>
      <c r="S75" s="126"/>
    </row>
    <row r="76" spans="17:19" ht="23.25">
      <c r="Q76" s="126"/>
      <c r="R76" s="126"/>
      <c r="S76" s="126"/>
    </row>
    <row r="77" spans="17:19" ht="23.25">
      <c r="Q77" s="126"/>
      <c r="R77" s="126"/>
      <c r="S77" s="126"/>
    </row>
    <row r="78" spans="17:19" ht="23.25">
      <c r="Q78" s="126"/>
      <c r="R78" s="126"/>
      <c r="S78" s="126"/>
    </row>
    <row r="79" spans="17:19" ht="23.25">
      <c r="Q79" s="126"/>
      <c r="R79" s="126"/>
      <c r="S79" s="126"/>
    </row>
    <row r="80" spans="17:19" ht="23.25">
      <c r="Q80" s="126"/>
      <c r="R80" s="126"/>
      <c r="S80" s="126"/>
    </row>
    <row r="81" spans="17:19" ht="23.25">
      <c r="Q81" s="126"/>
      <c r="R81" s="126"/>
      <c r="S81" s="126"/>
    </row>
    <row r="82" spans="17:19" ht="23.25">
      <c r="Q82" s="126"/>
      <c r="R82" s="126"/>
      <c r="S82" s="126"/>
    </row>
    <row r="83" spans="17:19" ht="23.25">
      <c r="Q83" s="126"/>
      <c r="R83" s="126"/>
      <c r="S83" s="126"/>
    </row>
    <row r="84" spans="17:19" ht="23.25">
      <c r="Q84" s="126"/>
      <c r="R84" s="126"/>
      <c r="S84" s="126"/>
    </row>
    <row r="85" spans="17:19" ht="23.25">
      <c r="Q85" s="126"/>
      <c r="R85" s="126"/>
      <c r="S85" s="126"/>
    </row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40" r:id="rId1"/>
  <colBreaks count="2" manualBreakCount="2">
    <brk id="8" min="1" max="61" man="1"/>
    <brk id="15" min="1" max="6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showGridLines="0" view="pageBreakPreview" zoomScale="55" zoomScaleNormal="60" zoomScaleSheetLayoutView="55" zoomScalePageLayoutView="0" workbookViewId="0" topLeftCell="A1">
      <pane xSplit="2" ySplit="7" topLeftCell="C50" activePane="bottomRight" state="frozen"/>
      <selection pane="topLeft" activeCell="G1" sqref="G1:S65536"/>
      <selection pane="topRight" activeCell="G1" sqref="G1:S65536"/>
      <selection pane="bottomLeft" activeCell="G1" sqref="G1:S65536"/>
      <selection pane="bottomRight" activeCell="G1" sqref="G1:S65536"/>
    </sheetView>
  </sheetViews>
  <sheetFormatPr defaultColWidth="9.00390625" defaultRowHeight="12.75"/>
  <cols>
    <col min="1" max="1" width="9.25390625" style="2" bestFit="1" customWidth="1"/>
    <col min="2" max="2" width="125.875" style="2" customWidth="1"/>
    <col min="3" max="3" width="25.75390625" style="2" customWidth="1"/>
    <col min="4" max="4" width="26.875" style="2" customWidth="1"/>
    <col min="5" max="5" width="25.125" style="2" customWidth="1"/>
    <col min="6" max="6" width="20.75390625" style="2" customWidth="1"/>
    <col min="7" max="16384" width="9.125" style="2" customWidth="1"/>
  </cols>
  <sheetData>
    <row r="1" spans="1:6" s="48" customFormat="1" ht="38.25" customHeight="1">
      <c r="A1" s="152" t="str">
        <f>NFZ!A1</f>
        <v>ZMIANA PLANU NARODOWEGO FUNDUSZU ZDROWIA NA 2014 R. Z DNIA 30 GRUDNIA 2014 R.</v>
      </c>
      <c r="B1" s="152"/>
      <c r="C1" s="152"/>
      <c r="D1" s="152"/>
      <c r="E1" s="152"/>
      <c r="F1" s="152"/>
    </row>
    <row r="2" spans="1:3" s="50" customFormat="1" ht="33" customHeight="1">
      <c r="A2" s="88" t="s">
        <v>190</v>
      </c>
      <c r="B2" s="88"/>
      <c r="C2" s="88"/>
    </row>
    <row r="3" spans="1:6" ht="33" customHeight="1">
      <c r="A3" s="8"/>
      <c r="B3" s="9"/>
      <c r="C3" s="87"/>
      <c r="D3" s="125"/>
      <c r="E3" s="87" t="s">
        <v>159</v>
      </c>
      <c r="F3" s="10"/>
    </row>
    <row r="4" spans="1:6" s="6" customFormat="1" ht="45" customHeight="1">
      <c r="A4" s="149" t="s">
        <v>132</v>
      </c>
      <c r="B4" s="149" t="s">
        <v>55</v>
      </c>
      <c r="C4" s="150" t="s">
        <v>236</v>
      </c>
      <c r="D4" s="150" t="s">
        <v>191</v>
      </c>
      <c r="E4" s="153" t="s">
        <v>192</v>
      </c>
      <c r="F4" s="153" t="s">
        <v>193</v>
      </c>
    </row>
    <row r="5" spans="1:6" s="6" customFormat="1" ht="45" customHeight="1">
      <c r="A5" s="149"/>
      <c r="B5" s="149"/>
      <c r="C5" s="151"/>
      <c r="D5" s="151"/>
      <c r="E5" s="153"/>
      <c r="F5" s="153"/>
    </row>
    <row r="6" spans="1:6" s="4" customFormat="1" ht="14.25">
      <c r="A6" s="47">
        <v>1</v>
      </c>
      <c r="B6" s="52">
        <v>2</v>
      </c>
      <c r="C6" s="47">
        <v>3</v>
      </c>
      <c r="D6" s="52">
        <v>4</v>
      </c>
      <c r="E6" s="47">
        <v>5</v>
      </c>
      <c r="F6" s="52">
        <v>6</v>
      </c>
    </row>
    <row r="7" spans="1:6" s="3" customFormat="1" ht="30" customHeight="1">
      <c r="A7" s="23" t="s">
        <v>0</v>
      </c>
      <c r="B7" s="39" t="s">
        <v>248</v>
      </c>
      <c r="C7" s="13">
        <f>C8+C9+C10+C15+C16+C17+C18+C19+C20+C21+C22+C23+C24+C25+C29+C30+C32+C33</f>
        <v>63726468</v>
      </c>
      <c r="D7" s="13">
        <f>D8+D9+D10+D15+D16+D17+D18+D19+D20+D21+D22+D23+D24+D25+D29+D30+D32+D33</f>
        <v>63792932</v>
      </c>
      <c r="E7" s="13">
        <f>IF(C7=D7,"-",D7-C7)</f>
        <v>66464</v>
      </c>
      <c r="F7" s="95">
        <f>IF(C7=0,"-",D7/C7)</f>
        <v>1.001</v>
      </c>
    </row>
    <row r="8" spans="1:6" ht="33" customHeight="1">
      <c r="A8" s="29" t="s">
        <v>1</v>
      </c>
      <c r="B8" s="35" t="s">
        <v>133</v>
      </c>
      <c r="C8" s="81">
        <f>Dolnośląski!C8+KujawskoPomorski!C8+Lubelski!C8+Lubuski!C8+Łódzki!C8+Małopolski!C8+Mazowiecki!C8+Opolski!C8+Podkarpacki!C8+Podlaski!C8+Pomorski!C8+Śląski!C8+Świętokrzyski!C8+WarmińskoMazurski!C8+Wielkopolski!C8+Zachodniopomorski!C8</f>
        <v>7725799</v>
      </c>
      <c r="D8" s="81">
        <f>Dolnośląski!D8+KujawskoPomorski!D8+Lubelski!D8+Lubuski!D8+Łódzki!D8+Małopolski!D8+Mazowiecki!D8+Opolski!D8+Podkarpacki!D8+Podlaski!D8+Pomorski!D8+Śląski!D8+Świętokrzyski!D8+WarmińskoMazurski!D8+Wielkopolski!D8+Zachodniopomorski!D8</f>
        <v>7727318</v>
      </c>
      <c r="E8" s="96">
        <f aca="true" t="shared" si="0" ref="E8:E64">IF(C8=D8,"-",D8-C8)</f>
        <v>1519</v>
      </c>
      <c r="F8" s="97">
        <f aca="true" t="shared" si="1" ref="F8:F64">IF(C8=0,"-",D8/C8)</f>
        <v>1.0002</v>
      </c>
    </row>
    <row r="9" spans="1:6" ht="33" customHeight="1">
      <c r="A9" s="29" t="s">
        <v>2</v>
      </c>
      <c r="B9" s="35" t="s">
        <v>134</v>
      </c>
      <c r="C9" s="81">
        <f>Dolnośląski!C9+KujawskoPomorski!C9+Lubelski!C9+Lubuski!C9+Łódzki!C9+Małopolski!C9+Mazowiecki!C9+Opolski!C9+Podkarpacki!C9+Podlaski!C9+Pomorski!C9+Śląski!C9+Świętokrzyski!C9+WarmińskoMazurski!C9+Wielkopolski!C9+Zachodniopomorski!C9</f>
        <v>5540596</v>
      </c>
      <c r="D9" s="81">
        <f>Dolnośląski!D9+KujawskoPomorski!D9+Lubelski!D9+Lubuski!D9+Łódzki!D9+Małopolski!D9+Mazowiecki!D9+Opolski!D9+Podkarpacki!D9+Podlaski!D9+Pomorski!D9+Śląski!D9+Świętokrzyski!D9+WarmińskoMazurski!D9+Wielkopolski!D9+Zachodniopomorski!D9</f>
        <v>5540596</v>
      </c>
      <c r="E9" s="96" t="str">
        <f t="shared" si="0"/>
        <v>-</v>
      </c>
      <c r="F9" s="97">
        <f t="shared" si="1"/>
        <v>1</v>
      </c>
    </row>
    <row r="10" spans="1:6" ht="33" customHeight="1">
      <c r="A10" s="29" t="s">
        <v>3</v>
      </c>
      <c r="B10" s="35" t="s">
        <v>131</v>
      </c>
      <c r="C10" s="81">
        <f>Dolnośląski!C10+KujawskoPomorski!C10+Lubelski!C10+Lubuski!C10+Łódzki!C10+Małopolski!C10+Mazowiecki!C10+Opolski!C10+Podkarpacki!C10+Podlaski!C10+Pomorski!C10+Śląski!C10+Świętokrzyski!C10+WarmińskoMazurski!C10+Wielkopolski!C10+Zachodniopomorski!C10</f>
        <v>31049560</v>
      </c>
      <c r="D10" s="81">
        <f>Dolnośląski!D10+KujawskoPomorski!D10+Lubelski!D10+Lubuski!D10+Łódzki!D10+Małopolski!D10+Mazowiecki!D10+Opolski!D10+Podkarpacki!D10+Podlaski!D10+Pomorski!D10+Śląski!D10+Świętokrzyski!D10+WarmińskoMazurski!D10+Wielkopolski!D10+Zachodniopomorski!D10</f>
        <v>31101102</v>
      </c>
      <c r="E10" s="96">
        <f t="shared" si="0"/>
        <v>51542</v>
      </c>
      <c r="F10" s="97">
        <f t="shared" si="1"/>
        <v>1.0017</v>
      </c>
    </row>
    <row r="11" spans="1:6" ht="31.5" customHeight="1">
      <c r="A11" s="28" t="s">
        <v>57</v>
      </c>
      <c r="B11" s="34" t="s">
        <v>160</v>
      </c>
      <c r="C11" s="81">
        <f>Dolnośląski!C11+KujawskoPomorski!C11+Lubelski!C11+Lubuski!C11+Łódzki!C11+Małopolski!C11+Mazowiecki!C11+Opolski!C11+Podkarpacki!C11+Podlaski!C11+Pomorski!C11+Śląski!C11+Świętokrzyski!C11+WarmińskoMazurski!C11+Wielkopolski!C11+Zachodniopomorski!C11</f>
        <v>2641319</v>
      </c>
      <c r="D11" s="81">
        <f>Dolnośląski!D11+KujawskoPomorski!D11+Lubelski!D11+Lubuski!D11+Łódzki!D11+Małopolski!D11+Mazowiecki!D11+Opolski!D11+Podkarpacki!D11+Podlaski!D11+Pomorski!D11+Śląski!D11+Świętokrzyski!D11+WarmińskoMazurski!D11+Wielkopolski!D11+Zachodniopomorski!D11</f>
        <v>2641319</v>
      </c>
      <c r="E11" s="96" t="str">
        <f t="shared" si="0"/>
        <v>-</v>
      </c>
      <c r="F11" s="97">
        <f t="shared" si="1"/>
        <v>1</v>
      </c>
    </row>
    <row r="12" spans="1:6" ht="31.5" customHeight="1">
      <c r="A12" s="28" t="s">
        <v>161</v>
      </c>
      <c r="B12" s="34" t="s">
        <v>164</v>
      </c>
      <c r="C12" s="81">
        <f>Dolnośląski!C12+KujawskoPomorski!C12+Lubelski!C12+Lubuski!C12+Łódzki!C12+Małopolski!C12+Mazowiecki!C12+Opolski!C12+Podkarpacki!C12+Podlaski!C12+Pomorski!C12+Śląski!C12+Świętokrzyski!C12+WarmińskoMazurski!C12+Wielkopolski!C12+Zachodniopomorski!C12</f>
        <v>2417446</v>
      </c>
      <c r="D12" s="81">
        <f>Dolnośląski!D12+KujawskoPomorski!D12+Lubelski!D12+Lubuski!D12+Łódzki!D12+Małopolski!D12+Mazowiecki!D12+Opolski!D12+Podkarpacki!D12+Podlaski!D12+Pomorski!D12+Śląski!D12+Świętokrzyski!D12+WarmińskoMazurski!D12+Wielkopolski!D12+Zachodniopomorski!D12</f>
        <v>2417446</v>
      </c>
      <c r="E12" s="96" t="str">
        <f t="shared" si="0"/>
        <v>-</v>
      </c>
      <c r="F12" s="97">
        <f t="shared" si="1"/>
        <v>1</v>
      </c>
    </row>
    <row r="13" spans="1:6" ht="31.5" customHeight="1">
      <c r="A13" s="28" t="s">
        <v>162</v>
      </c>
      <c r="B13" s="34" t="s">
        <v>165</v>
      </c>
      <c r="C13" s="81">
        <f>Dolnośląski!C13+KujawskoPomorski!C13+Lubelski!C13+Lubuski!C13+Łódzki!C13+Małopolski!C13+Mazowiecki!C13+Opolski!C13+Podkarpacki!C13+Podlaski!C13+Pomorski!C13+Śląski!C13+Świętokrzyski!C13+WarmińskoMazurski!C13+Wielkopolski!C13+Zachodniopomorski!C13</f>
        <v>1349137</v>
      </c>
      <c r="D13" s="81">
        <f>Dolnośląski!D13+KujawskoPomorski!D13+Lubelski!D13+Lubuski!D13+Łódzki!D13+Małopolski!D13+Mazowiecki!D13+Opolski!D13+Podkarpacki!D13+Podlaski!D13+Pomorski!D13+Śląski!D13+Świętokrzyski!D13+WarmińskoMazurski!D13+Wielkopolski!D13+Zachodniopomorski!D13</f>
        <v>1349137</v>
      </c>
      <c r="E13" s="96" t="str">
        <f t="shared" si="0"/>
        <v>-</v>
      </c>
      <c r="F13" s="97">
        <f t="shared" si="1"/>
        <v>1</v>
      </c>
    </row>
    <row r="14" spans="1:6" ht="31.5" customHeight="1">
      <c r="A14" s="28" t="s">
        <v>163</v>
      </c>
      <c r="B14" s="34" t="s">
        <v>166</v>
      </c>
      <c r="C14" s="81">
        <f>Dolnośląski!C14+KujawskoPomorski!C14+Lubelski!C14+Lubuski!C14+Łódzki!C14+Małopolski!C14+Mazowiecki!C14+Opolski!C14+Podkarpacki!C14+Podlaski!C14+Pomorski!C14+Śląski!C14+Świętokrzyski!C14+WarmińskoMazurski!C14+Wielkopolski!C14+Zachodniopomorski!C14</f>
        <v>544741</v>
      </c>
      <c r="D14" s="81">
        <f>Dolnośląski!D14+KujawskoPomorski!D14+Lubelski!D14+Lubuski!D14+Łódzki!D14+Małopolski!D14+Mazowiecki!D14+Opolski!D14+Podkarpacki!D14+Podlaski!D14+Pomorski!D14+Śląski!D14+Świętokrzyski!D14+WarmińskoMazurski!D14+Wielkopolski!D14+Zachodniopomorski!D14</f>
        <v>544741</v>
      </c>
      <c r="E14" s="96" t="str">
        <f t="shared" si="0"/>
        <v>-</v>
      </c>
      <c r="F14" s="97">
        <f t="shared" si="1"/>
        <v>1</v>
      </c>
    </row>
    <row r="15" spans="1:6" ht="33" customHeight="1">
      <c r="A15" s="29" t="s">
        <v>4</v>
      </c>
      <c r="B15" s="35" t="s">
        <v>139</v>
      </c>
      <c r="C15" s="81">
        <f>Dolnośląski!C15+KujawskoPomorski!C15+Lubelski!C15+Lubuski!C15+Łódzki!C15+Małopolski!C15+Mazowiecki!C15+Opolski!C15+Podkarpacki!C15+Podlaski!C15+Pomorski!C15+Śląski!C15+Świętokrzyski!C15+WarmińskoMazurski!C15+Wielkopolski!C15+Zachodniopomorski!C15</f>
        <v>2331169</v>
      </c>
      <c r="D15" s="81">
        <f>Dolnośląski!D15+KujawskoPomorski!D15+Lubelski!D15+Lubuski!D15+Łódzki!D15+Małopolski!D15+Mazowiecki!D15+Opolski!D15+Podkarpacki!D15+Podlaski!D15+Pomorski!D15+Śląski!D15+Świętokrzyski!D15+WarmińskoMazurski!D15+Wielkopolski!D15+Zachodniopomorski!D15</f>
        <v>2332816</v>
      </c>
      <c r="E15" s="96">
        <f t="shared" si="0"/>
        <v>1647</v>
      </c>
      <c r="F15" s="97">
        <f t="shared" si="1"/>
        <v>1.0007</v>
      </c>
    </row>
    <row r="16" spans="1:6" ht="33" customHeight="1">
      <c r="A16" s="29" t="s">
        <v>5</v>
      </c>
      <c r="B16" s="35" t="s">
        <v>135</v>
      </c>
      <c r="C16" s="81">
        <f>Dolnośląski!C16+KujawskoPomorski!C16+Lubelski!C16+Lubuski!C16+Łódzki!C16+Małopolski!C16+Mazowiecki!C16+Opolski!C16+Podkarpacki!C16+Podlaski!C16+Pomorski!C16+Śląski!C16+Świętokrzyski!C16+WarmińskoMazurski!C16+Wielkopolski!C16+Zachodniopomorski!C16</f>
        <v>2096300</v>
      </c>
      <c r="D16" s="81">
        <f>Dolnośląski!D16+KujawskoPomorski!D16+Lubelski!D16+Lubuski!D16+Łódzki!D16+Małopolski!D16+Mazowiecki!D16+Opolski!D16+Podkarpacki!D16+Podlaski!D16+Pomorski!D16+Śląski!D16+Świętokrzyski!D16+WarmińskoMazurski!D16+Wielkopolski!D16+Zachodniopomorski!D16</f>
        <v>2096300</v>
      </c>
      <c r="E16" s="96" t="str">
        <f t="shared" si="0"/>
        <v>-</v>
      </c>
      <c r="F16" s="97">
        <f t="shared" si="1"/>
        <v>1</v>
      </c>
    </row>
    <row r="17" spans="1:6" ht="33" customHeight="1">
      <c r="A17" s="29" t="s">
        <v>6</v>
      </c>
      <c r="B17" s="35" t="s">
        <v>141</v>
      </c>
      <c r="C17" s="81">
        <f>Dolnośląski!C17+KujawskoPomorski!C17+Lubelski!C17+Lubuski!C17+Łódzki!C17+Małopolski!C17+Mazowiecki!C17+Opolski!C17+Podkarpacki!C17+Podlaski!C17+Pomorski!C17+Śląski!C17+Świętokrzyski!C17+WarmińskoMazurski!C17+Wielkopolski!C17+Zachodniopomorski!C17</f>
        <v>1107536</v>
      </c>
      <c r="D17" s="81">
        <f>Dolnośląski!D17+KujawskoPomorski!D17+Lubelski!D17+Lubuski!D17+Łódzki!D17+Małopolski!D17+Mazowiecki!D17+Opolski!D17+Podkarpacki!D17+Podlaski!D17+Pomorski!D17+Śląski!D17+Świętokrzyski!D17+WarmińskoMazurski!D17+Wielkopolski!D17+Zachodniopomorski!D17</f>
        <v>1109343</v>
      </c>
      <c r="E17" s="96">
        <f t="shared" si="0"/>
        <v>1807</v>
      </c>
      <c r="F17" s="97">
        <f t="shared" si="1"/>
        <v>1.0016</v>
      </c>
    </row>
    <row r="18" spans="1:6" ht="33" customHeight="1">
      <c r="A18" s="29" t="s">
        <v>7</v>
      </c>
      <c r="B18" s="35" t="s">
        <v>140</v>
      </c>
      <c r="C18" s="81">
        <f>Dolnośląski!C18+KujawskoPomorski!C18+Lubelski!C18+Lubuski!C18+Łódzki!C18+Małopolski!C18+Mazowiecki!C18+Opolski!C18+Podkarpacki!C18+Podlaski!C18+Pomorski!C18+Śląski!C18+Świętokrzyski!C18+WarmińskoMazurski!C18+Wielkopolski!C18+Zachodniopomorski!C18</f>
        <v>375271</v>
      </c>
      <c r="D18" s="81">
        <f>Dolnośląski!D18+KujawskoPomorski!D18+Lubelski!D18+Lubuski!D18+Łódzki!D18+Małopolski!D18+Mazowiecki!D18+Opolski!D18+Podkarpacki!D18+Podlaski!D18+Pomorski!D18+Śląski!D18+Świętokrzyski!D18+WarmińskoMazurski!D18+Wielkopolski!D18+Zachodniopomorski!D18</f>
        <v>382703</v>
      </c>
      <c r="E18" s="96">
        <f t="shared" si="0"/>
        <v>7432</v>
      </c>
      <c r="F18" s="97">
        <f t="shared" si="1"/>
        <v>1.0198</v>
      </c>
    </row>
    <row r="19" spans="1:6" ht="33" customHeight="1">
      <c r="A19" s="29" t="s">
        <v>8</v>
      </c>
      <c r="B19" s="35" t="s">
        <v>136</v>
      </c>
      <c r="C19" s="81">
        <f>Dolnośląski!C19+KujawskoPomorski!C19+Lubelski!C19+Lubuski!C19+Łódzki!C19+Małopolski!C19+Mazowiecki!C19+Opolski!C19+Podkarpacki!C19+Podlaski!C19+Pomorski!C19+Śląski!C19+Świętokrzyski!C19+WarmińskoMazurski!C19+Wielkopolski!C19+Zachodniopomorski!C19</f>
        <v>1773179</v>
      </c>
      <c r="D19" s="81">
        <f>Dolnośląski!D19+KujawskoPomorski!D19+Lubelski!D19+Lubuski!D19+Łódzki!D19+Małopolski!D19+Mazowiecki!D19+Opolski!D19+Podkarpacki!D19+Podlaski!D19+Pomorski!D19+Śląski!D19+Świętokrzyski!D19+WarmińskoMazurski!D19+Wielkopolski!D19+Zachodniopomorski!D19</f>
        <v>1773179</v>
      </c>
      <c r="E19" s="96" t="str">
        <f t="shared" si="0"/>
        <v>-</v>
      </c>
      <c r="F19" s="97">
        <f t="shared" si="1"/>
        <v>1</v>
      </c>
    </row>
    <row r="20" spans="1:6" ht="33" customHeight="1">
      <c r="A20" s="29" t="s">
        <v>9</v>
      </c>
      <c r="B20" s="35" t="s">
        <v>137</v>
      </c>
      <c r="C20" s="81">
        <f>Dolnośląski!C20+KujawskoPomorski!C20+Lubelski!C20+Lubuski!C20+Łódzki!C20+Małopolski!C20+Mazowiecki!C20+Opolski!C20+Podkarpacki!C20+Podlaski!C20+Pomorski!C20+Śląski!C20+Świętokrzyski!C20+WarmińskoMazurski!C20+Wielkopolski!C20+Zachodniopomorski!C20</f>
        <v>618616</v>
      </c>
      <c r="D20" s="81">
        <f>Dolnośląski!D20+KujawskoPomorski!D20+Lubelski!D20+Lubuski!D20+Łódzki!D20+Małopolski!D20+Mazowiecki!D20+Opolski!D20+Podkarpacki!D20+Podlaski!D20+Pomorski!D20+Śląski!D20+Świętokrzyski!D20+WarmińskoMazurski!D20+Wielkopolski!D20+Zachodniopomorski!D20</f>
        <v>618616</v>
      </c>
      <c r="E20" s="96" t="str">
        <f t="shared" si="0"/>
        <v>-</v>
      </c>
      <c r="F20" s="97">
        <f t="shared" si="1"/>
        <v>1</v>
      </c>
    </row>
    <row r="21" spans="1:6" ht="33" customHeight="1">
      <c r="A21" s="29" t="s">
        <v>10</v>
      </c>
      <c r="B21" s="35" t="s">
        <v>142</v>
      </c>
      <c r="C21" s="81">
        <f>Dolnośląski!C21+KujawskoPomorski!C21+Lubelski!C21+Lubuski!C21+Łódzki!C21+Małopolski!C21+Mazowiecki!C21+Opolski!C21+Podkarpacki!C21+Podlaski!C21+Pomorski!C21+Śląski!C21+Świętokrzyski!C21+WarmińskoMazurski!C21+Wielkopolski!C21+Zachodniopomorski!C21</f>
        <v>46036</v>
      </c>
      <c r="D21" s="81">
        <f>Dolnośląski!D21+KujawskoPomorski!D21+Lubelski!D21+Lubuski!D21+Łódzki!D21+Małopolski!D21+Mazowiecki!D21+Opolski!D21+Podkarpacki!D21+Podlaski!D21+Pomorski!D21+Śląski!D21+Świętokrzyski!D21+WarmińskoMazurski!D21+Wielkopolski!D21+Zachodniopomorski!D21</f>
        <v>46036</v>
      </c>
      <c r="E21" s="96" t="str">
        <f t="shared" si="0"/>
        <v>-</v>
      </c>
      <c r="F21" s="97">
        <f t="shared" si="1"/>
        <v>1</v>
      </c>
    </row>
    <row r="22" spans="1:6" ht="46.5" customHeight="1">
      <c r="A22" s="29" t="s">
        <v>11</v>
      </c>
      <c r="B22" s="35" t="s">
        <v>138</v>
      </c>
      <c r="C22" s="81">
        <f>Dolnośląski!C22+KujawskoPomorski!C22+Lubelski!C22+Lubuski!C22+Łódzki!C22+Małopolski!C22+Mazowiecki!C22+Opolski!C22+Podkarpacki!C22+Podlaski!C22+Pomorski!C22+Śląski!C22+Świętokrzyski!C22+WarmińskoMazurski!C22+Wielkopolski!C22+Zachodniopomorski!C22</f>
        <v>177023</v>
      </c>
      <c r="D22" s="81">
        <f>Dolnośląski!D22+KujawskoPomorski!D22+Lubelski!D22+Lubuski!D22+Łódzki!D22+Małopolski!D22+Mazowiecki!D22+Opolski!D22+Podkarpacki!D22+Podlaski!D22+Pomorski!D22+Śląski!D22+Świętokrzyski!D22+WarmińskoMazurski!D22+Wielkopolski!D22+Zachodniopomorski!D22</f>
        <v>177023</v>
      </c>
      <c r="E22" s="96" t="str">
        <f t="shared" si="0"/>
        <v>-</v>
      </c>
      <c r="F22" s="97">
        <f t="shared" si="1"/>
        <v>1</v>
      </c>
    </row>
    <row r="23" spans="1:6" ht="33" customHeight="1">
      <c r="A23" s="29" t="s">
        <v>12</v>
      </c>
      <c r="B23" s="35" t="s">
        <v>185</v>
      </c>
      <c r="C23" s="81">
        <f>Dolnośląski!C23+KujawskoPomorski!C23+Lubelski!C23+Lubuski!C23+Łódzki!C23+Małopolski!C23+Mazowiecki!C23+Opolski!C23+Podkarpacki!C23+Podlaski!C23+Pomorski!C23+Śląski!C23+Świętokrzyski!C23+WarmińskoMazurski!C23+Wielkopolski!C23+Zachodniopomorski!C23</f>
        <v>1743960</v>
      </c>
      <c r="D23" s="81">
        <f>Dolnośląski!D23+KujawskoPomorski!D23+Lubelski!D23+Lubuski!D23+Łódzki!D23+Małopolski!D23+Mazowiecki!D23+Opolski!D23+Podkarpacki!D23+Podlaski!D23+Pomorski!D23+Śląski!D23+Świętokrzyski!D23+WarmińskoMazurski!D23+Wielkopolski!D23+Zachodniopomorski!D23</f>
        <v>1746477</v>
      </c>
      <c r="E23" s="96">
        <f t="shared" si="0"/>
        <v>2517</v>
      </c>
      <c r="F23" s="97">
        <f t="shared" si="1"/>
        <v>1.0014</v>
      </c>
    </row>
    <row r="24" spans="1:6" ht="33" customHeight="1">
      <c r="A24" s="29" t="s">
        <v>13</v>
      </c>
      <c r="B24" s="35" t="s">
        <v>167</v>
      </c>
      <c r="C24" s="81">
        <f>Dolnośląski!C24+KujawskoPomorski!C24+Lubelski!C24+Lubuski!C24+Łódzki!C24+Małopolski!C24+Mazowiecki!C24+Opolski!C24+Podkarpacki!C24+Podlaski!C24+Pomorski!C24+Śląski!C24+Świętokrzyski!C24+WarmińskoMazurski!C24+Wielkopolski!C24+Zachodniopomorski!C24</f>
        <v>840982</v>
      </c>
      <c r="D24" s="81">
        <f>Dolnośląski!D24+KujawskoPomorski!D24+Lubelski!D24+Lubuski!D24+Łódzki!D24+Małopolski!D24+Mazowiecki!D24+Opolski!D24+Podkarpacki!D24+Podlaski!D24+Pomorski!D24+Śląski!D24+Świętokrzyski!D24+WarmińskoMazurski!D24+Wielkopolski!D24+Zachodniopomorski!D24</f>
        <v>840982</v>
      </c>
      <c r="E24" s="96" t="str">
        <f t="shared" si="0"/>
        <v>-</v>
      </c>
      <c r="F24" s="97">
        <f t="shared" si="1"/>
        <v>1</v>
      </c>
    </row>
    <row r="25" spans="1:6" ht="33" customHeight="1">
      <c r="A25" s="30" t="s">
        <v>14</v>
      </c>
      <c r="B25" s="78" t="s">
        <v>249</v>
      </c>
      <c r="C25" s="81">
        <f>Dolnośląski!C25+KujawskoPomorski!C25+Lubelski!C25+Lubuski!C25+Łódzki!C25+Małopolski!C25+Mazowiecki!C25+Opolski!C25+Podkarpacki!C25+Podlaski!C25+Pomorski!C25+Śląski!C25+Świętokrzyski!C25+WarmińskoMazurski!C25+Wielkopolski!C25+Zachodniopomorski!C25</f>
        <v>7938896</v>
      </c>
      <c r="D25" s="81">
        <f>Dolnośląski!D25+KujawskoPomorski!D25+Lubelski!D25+Lubuski!D25+Łódzki!D25+Małopolski!D25+Mazowiecki!D25+Opolski!D25+Podkarpacki!D25+Podlaski!D25+Pomorski!D25+Śląski!D25+Świętokrzyski!D25+WarmińskoMazurski!D25+Wielkopolski!D25+Zachodniopomorski!D25</f>
        <v>7938896</v>
      </c>
      <c r="E25" s="96" t="str">
        <f t="shared" si="0"/>
        <v>-</v>
      </c>
      <c r="F25" s="97">
        <f t="shared" si="1"/>
        <v>1</v>
      </c>
    </row>
    <row r="26" spans="1:6" ht="31.5">
      <c r="A26" s="28" t="s">
        <v>143</v>
      </c>
      <c r="B26" s="34" t="s">
        <v>170</v>
      </c>
      <c r="C26" s="81">
        <f>Dolnośląski!C26+KujawskoPomorski!C26+Lubelski!C26+Lubuski!C26+Łódzki!C26+Małopolski!C26+Mazowiecki!C26+Opolski!C26+Podkarpacki!C26+Podlaski!C26+Pomorski!C26+Śląski!C26+Świętokrzyski!C26+WarmińskoMazurski!C26+Wielkopolski!C26+Zachodniopomorski!C26</f>
        <v>7896346</v>
      </c>
      <c r="D26" s="81">
        <f>Dolnośląski!D26+KujawskoPomorski!D26+Lubelski!D26+Lubuski!D26+Łódzki!D26+Małopolski!D26+Mazowiecki!D26+Opolski!D26+Podkarpacki!D26+Podlaski!D26+Pomorski!D26+Śląski!D26+Świętokrzyski!D26+WarmińskoMazurski!D26+Wielkopolski!D26+Zachodniopomorski!D26</f>
        <v>7896346</v>
      </c>
      <c r="E26" s="96" t="str">
        <f t="shared" si="0"/>
        <v>-</v>
      </c>
      <c r="F26" s="97">
        <f t="shared" si="1"/>
        <v>1</v>
      </c>
    </row>
    <row r="27" spans="1:6" ht="31.5" customHeight="1">
      <c r="A27" s="28" t="s">
        <v>169</v>
      </c>
      <c r="B27" s="34" t="s">
        <v>172</v>
      </c>
      <c r="C27" s="81">
        <f>Dolnośląski!C27+KujawskoPomorski!C27+Lubelski!C27+Lubuski!C27+Łódzki!C27+Małopolski!C27+Mazowiecki!C27+Opolski!C27+Podkarpacki!C27+Podlaski!C27+Pomorski!C27+Śląski!C27+Świętokrzyski!C27+WarmińskoMazurski!C27+Wielkopolski!C27+Zachodniopomorski!C27</f>
        <v>33144</v>
      </c>
      <c r="D27" s="81">
        <f>Dolnośląski!D27+KujawskoPomorski!D27+Lubelski!D27+Lubuski!D27+Łódzki!D27+Małopolski!D27+Mazowiecki!D27+Opolski!D27+Podkarpacki!D27+Podlaski!D27+Pomorski!D27+Śląski!D27+Świętokrzyski!D27+WarmińskoMazurski!D27+Wielkopolski!D27+Zachodniopomorski!D27</f>
        <v>33144</v>
      </c>
      <c r="E27" s="96" t="str">
        <f t="shared" si="0"/>
        <v>-</v>
      </c>
      <c r="F27" s="97">
        <f t="shared" si="1"/>
        <v>1</v>
      </c>
    </row>
    <row r="28" spans="1:6" ht="31.5" customHeight="1">
      <c r="A28" s="28" t="s">
        <v>173</v>
      </c>
      <c r="B28" s="34" t="s">
        <v>171</v>
      </c>
      <c r="C28" s="81">
        <f>Dolnośląski!C28+KujawskoPomorski!C28+Lubelski!C28+Lubuski!C28+Łódzki!C28+Małopolski!C28+Mazowiecki!C28+Opolski!C28+Podkarpacki!C28+Podlaski!C28+Pomorski!C28+Śląski!C28+Świętokrzyski!C28+WarmińskoMazurski!C28+Wielkopolski!C28+Zachodniopomorski!C28</f>
        <v>9406</v>
      </c>
      <c r="D28" s="81">
        <f>Dolnośląski!D28+KujawskoPomorski!D28+Lubelski!D28+Lubuski!D28+Łódzki!D28+Małopolski!D28+Mazowiecki!D28+Opolski!D28+Podkarpacki!D28+Podlaski!D28+Pomorski!D28+Śląski!D28+Świętokrzyski!D28+WarmińskoMazurski!D28+Wielkopolski!D28+Zachodniopomorski!D28</f>
        <v>9406</v>
      </c>
      <c r="E28" s="96" t="str">
        <f t="shared" si="0"/>
        <v>-</v>
      </c>
      <c r="F28" s="97">
        <f t="shared" si="1"/>
        <v>1</v>
      </c>
    </row>
    <row r="29" spans="1:6" ht="33" customHeight="1">
      <c r="A29" s="31" t="s">
        <v>15</v>
      </c>
      <c r="B29" s="36" t="s">
        <v>122</v>
      </c>
      <c r="C29" s="81">
        <f>Dolnośląski!C29+KujawskoPomorski!C29+Lubelski!C29+Lubuski!C29+Łódzki!C29+Małopolski!C29+Mazowiecki!C29+Opolski!C29+Podkarpacki!C29+Podlaski!C29+Pomorski!C29+Śląski!C29+Świętokrzyski!C29+WarmińskoMazurski!C29+Wielkopolski!C29+Zachodniopomorski!C29</f>
        <v>0</v>
      </c>
      <c r="D29" s="81">
        <f>Dolnośląski!D29+KujawskoPomorski!D29+Lubelski!D29+Lubuski!D29+Łódzki!D29+Małopolski!D29+Mazowiecki!D29+Opolski!D29+Podkarpacki!D29+Podlaski!D29+Pomorski!D29+Śląski!D29+Świętokrzyski!D29+WarmińskoMazurski!D29+Wielkopolski!D29+Zachodniopomorski!D29</f>
        <v>0</v>
      </c>
      <c r="E29" s="96" t="str">
        <f t="shared" si="0"/>
        <v>-</v>
      </c>
      <c r="F29" s="97" t="str">
        <f t="shared" si="1"/>
        <v>-</v>
      </c>
    </row>
    <row r="30" spans="1:6" ht="33" customHeight="1">
      <c r="A30" s="31" t="s">
        <v>119</v>
      </c>
      <c r="B30" s="37" t="s">
        <v>174</v>
      </c>
      <c r="C30" s="81">
        <f>Dolnośląski!C30+KujawskoPomorski!C30+Lubelski!C30+Lubuski!C30+Łódzki!C30+Małopolski!C30+Mazowiecki!C30+Opolski!C30+Podkarpacki!C30+Podlaski!C30+Pomorski!C30+Śląski!C30+Świętokrzyski!C30+WarmińskoMazurski!C30+Wielkopolski!C30+Zachodniopomorski!C30</f>
        <v>0</v>
      </c>
      <c r="D30" s="81">
        <f>Dolnośląski!D30+KujawskoPomorski!D30+Lubelski!D30+Lubuski!D30+Łódzki!D30+Małopolski!D30+Mazowiecki!D30+Opolski!D30+Podkarpacki!D30+Podlaski!D30+Pomorski!D30+Śląski!D30+Świętokrzyski!D30+WarmińskoMazurski!D30+Wielkopolski!D30+Zachodniopomorski!D30</f>
        <v>0</v>
      </c>
      <c r="E30" s="96" t="str">
        <f t="shared" si="0"/>
        <v>-</v>
      </c>
      <c r="F30" s="97" t="str">
        <f t="shared" si="1"/>
        <v>-</v>
      </c>
    </row>
    <row r="31" spans="1:6" ht="31.5" customHeight="1">
      <c r="A31" s="28" t="s">
        <v>175</v>
      </c>
      <c r="B31" s="34" t="s">
        <v>187</v>
      </c>
      <c r="C31" s="81">
        <f>Dolnośląski!C31+KujawskoPomorski!C31+Lubelski!C31+Lubuski!C31+Łódzki!C31+Małopolski!C31+Mazowiecki!C31+Opolski!C31+Podkarpacki!C31+Podlaski!C31+Pomorski!C31+Śląski!C31+Świętokrzyski!C31+WarmińskoMazurski!C31+Wielkopolski!C31+Zachodniopomorski!C31</f>
        <v>0</v>
      </c>
      <c r="D31" s="81">
        <f>Dolnośląski!D31+KujawskoPomorski!D31+Lubelski!D31+Lubuski!D31+Łódzki!D31+Małopolski!D31+Mazowiecki!D31+Opolski!D31+Podkarpacki!D31+Podlaski!D31+Pomorski!D31+Śląski!D31+Świętokrzyski!D31+WarmińskoMazurski!D31+Wielkopolski!D31+Zachodniopomorski!D31</f>
        <v>0</v>
      </c>
      <c r="E31" s="96" t="str">
        <f t="shared" si="0"/>
        <v>-</v>
      </c>
      <c r="F31" s="97" t="str">
        <f t="shared" si="1"/>
        <v>-</v>
      </c>
    </row>
    <row r="32" spans="1:6" ht="33" customHeight="1">
      <c r="A32" s="31" t="s">
        <v>120</v>
      </c>
      <c r="B32" s="37" t="s">
        <v>123</v>
      </c>
      <c r="C32" s="81">
        <f>Dolnośląski!C32+KujawskoPomorski!C32+Lubelski!C32+Lubuski!C32+Łódzki!C32+Małopolski!C32+Mazowiecki!C32+Opolski!C32+Podkarpacki!C32+Podlaski!C32+Pomorski!C32+Śląski!C32+Świętokrzyski!C32+WarmińskoMazurski!C32+Wielkopolski!C32+Zachodniopomorski!C32</f>
        <v>0</v>
      </c>
      <c r="D32" s="81">
        <f>Dolnośląski!D32+KujawskoPomorski!D32+Lubelski!D32+Lubuski!D32+Łódzki!D32+Małopolski!D32+Mazowiecki!D32+Opolski!D32+Podkarpacki!D32+Podlaski!D32+Pomorski!D32+Śląski!D32+Świętokrzyski!D32+WarmińskoMazurski!D32+Wielkopolski!D32+Zachodniopomorski!D32</f>
        <v>0</v>
      </c>
      <c r="E32" s="96" t="str">
        <f t="shared" si="0"/>
        <v>-</v>
      </c>
      <c r="F32" s="97" t="str">
        <f t="shared" si="1"/>
        <v>-</v>
      </c>
    </row>
    <row r="33" spans="1:6" ht="33" customHeight="1">
      <c r="A33" s="31" t="s">
        <v>121</v>
      </c>
      <c r="B33" s="37" t="s">
        <v>186</v>
      </c>
      <c r="C33" s="81">
        <f>Dolnośląski!C33+KujawskoPomorski!C33+Lubelski!C33+Lubuski!C33+Łódzki!C33+Małopolski!C33+Mazowiecki!C33+Opolski!C33+Podkarpacki!C33+Podlaski!C33+Pomorski!C33+Śląski!C33+Świętokrzyski!C33+WarmińskoMazurski!C33+Wielkopolski!C33+Zachodniopomorski!C33</f>
        <v>361545</v>
      </c>
      <c r="D33" s="81">
        <f>Dolnośląski!D33+KujawskoPomorski!D33+Lubelski!D33+Lubuski!D33+Łódzki!D33+Małopolski!D33+Mazowiecki!D33+Opolski!D33+Podkarpacki!D33+Podlaski!D33+Pomorski!D33+Śląski!D33+Świętokrzyski!D33+WarmińskoMazurski!D33+Wielkopolski!D33+Zachodniopomorski!D33</f>
        <v>361545</v>
      </c>
      <c r="E33" s="96" t="str">
        <f t="shared" si="0"/>
        <v>-</v>
      </c>
      <c r="F33" s="97">
        <f t="shared" si="1"/>
        <v>1</v>
      </c>
    </row>
    <row r="34" spans="1:6" ht="51.75" customHeight="1">
      <c r="A34" s="31" t="s">
        <v>246</v>
      </c>
      <c r="B34" s="37" t="s">
        <v>247</v>
      </c>
      <c r="C34" s="81">
        <f>Dolnośląski!C34+KujawskoPomorski!C34+Lubelski!C34+Lubuski!C34+Łódzki!C34+Małopolski!C34+Mazowiecki!C34+Opolski!C34+Podkarpacki!C34+Podlaski!C34+Pomorski!C34+Śląski!C34+Świętokrzyski!C34+WarmińskoMazurski!C34+Wielkopolski!C34+Zachodniopomorski!C34</f>
        <v>0</v>
      </c>
      <c r="D34" s="81">
        <f>Dolnośląski!D34+KujawskoPomorski!D34+Lubelski!D34+Lubuski!D34+Łódzki!D34+Małopolski!D34+Mazowiecki!D34+Opolski!D34+Podkarpacki!D34+Podlaski!D34+Pomorski!D34+Śląski!D34+Świętokrzyski!D34+WarmińskoMazurski!D34+Wielkopolski!D34+Zachodniopomorski!D34</f>
        <v>0</v>
      </c>
      <c r="E34" s="96" t="str">
        <f>IF(C34=D34,"-",D34-C34)</f>
        <v>-</v>
      </c>
      <c r="F34" s="97" t="str">
        <f>IF(C34=0,"-",D34/C34)</f>
        <v>-</v>
      </c>
    </row>
    <row r="35" spans="1:6" s="5" customFormat="1" ht="31.5" customHeight="1">
      <c r="A35" s="32" t="s">
        <v>59</v>
      </c>
      <c r="B35" s="38" t="s">
        <v>60</v>
      </c>
      <c r="C35" s="82">
        <f>Dolnośląski!C35+KujawskoPomorski!C35+Lubelski!C35+Lubuski!C35+Łódzki!C35+Małopolski!C35+Mazowiecki!C35+Opolski!C35+Podkarpacki!C35+Podlaski!C35+Pomorski!C35+Śląski!C35+Świętokrzyski!C35+WarmińskoMazurski!C35+Wielkopolski!C35+Zachodniopomorski!C35</f>
        <v>0</v>
      </c>
      <c r="D35" s="82">
        <f>Dolnośląski!D35+KujawskoPomorski!D35+Lubelski!D35+Lubuski!D35+Łódzki!D35+Małopolski!D35+Mazowiecki!D35+Opolski!D35+Podkarpacki!D35+Podlaski!D35+Pomorski!D35+Śląski!D35+Świętokrzyski!D35+WarmińskoMazurski!D35+Wielkopolski!D35+Zachodniopomorski!D35</f>
        <v>0</v>
      </c>
      <c r="E35" s="15" t="str">
        <f t="shared" si="0"/>
        <v>-</v>
      </c>
      <c r="F35" s="98" t="str">
        <f t="shared" si="1"/>
        <v>-</v>
      </c>
    </row>
    <row r="36" spans="1:6" s="5" customFormat="1" ht="31.5" customHeight="1">
      <c r="A36" s="32" t="s">
        <v>58</v>
      </c>
      <c r="B36" s="38" t="s">
        <v>61</v>
      </c>
      <c r="C36" s="82">
        <f>Dolnośląski!C36+KujawskoPomorski!C36+Lubelski!C36+Lubuski!C36+Łódzki!C36+Małopolski!C36+Mazowiecki!C36+Opolski!C36+Podkarpacki!C36+Podlaski!C36+Pomorski!C36+Śląski!C36+Świętokrzyski!C36+WarmińskoMazurski!C36+Wielkopolski!C36+Zachodniopomorski!C36</f>
        <v>1839959</v>
      </c>
      <c r="D36" s="82">
        <f>Dolnośląski!D36+KujawskoPomorski!D36+Lubelski!D36+Lubuski!D36+Łódzki!D36+Małopolski!D36+Mazowiecki!D36+Opolski!D36+Podkarpacki!D36+Podlaski!D36+Pomorski!D36+Śląski!D36+Świętokrzyski!D36+WarmińskoMazurski!D36+Wielkopolski!D36+Zachodniopomorski!D36</f>
        <v>1839959</v>
      </c>
      <c r="E36" s="15" t="str">
        <f t="shared" si="0"/>
        <v>-</v>
      </c>
      <c r="F36" s="98">
        <f t="shared" si="1"/>
        <v>1</v>
      </c>
    </row>
    <row r="37" spans="1:6" s="5" customFormat="1" ht="42.75" customHeight="1">
      <c r="A37" s="32" t="s">
        <v>176</v>
      </c>
      <c r="B37" s="38" t="s">
        <v>177</v>
      </c>
      <c r="C37" s="82">
        <f>Dolnośląski!C37+KujawskoPomorski!C37+Lubelski!C37+Lubuski!C37+Łódzki!C37+Małopolski!C37+Mazowiecki!C37+Opolski!C37+Podkarpacki!C37+Podlaski!C37+Pomorski!C37+Śląski!C37+Świętokrzyski!C37+WarmińskoMazurski!C37+Wielkopolski!C37+Zachodniopomorski!C37</f>
        <v>10901083</v>
      </c>
      <c r="D37" s="82">
        <f>Dolnośląski!D37+KujawskoPomorski!D37+Lubelski!D37+Lubuski!D37+Łódzki!D37+Małopolski!D37+Mazowiecki!D37+Opolski!D37+Podkarpacki!D37+Podlaski!D37+Pomorski!D37+Śląski!D37+Świętokrzyski!D37+WarmińskoMazurski!D37+Wielkopolski!D37+Zachodniopomorski!D37</f>
        <v>10901083</v>
      </c>
      <c r="E37" s="15" t="str">
        <f t="shared" si="0"/>
        <v>-</v>
      </c>
      <c r="F37" s="98">
        <f t="shared" si="1"/>
        <v>1</v>
      </c>
    </row>
    <row r="38" spans="1:6" s="3" customFormat="1" ht="30" customHeight="1">
      <c r="A38" s="26" t="s">
        <v>16</v>
      </c>
      <c r="B38" s="46" t="s">
        <v>250</v>
      </c>
      <c r="C38" s="24">
        <f>C39+C40+C41+C49+C51+C57+C58+C56</f>
        <v>498465</v>
      </c>
      <c r="D38" s="24">
        <f>D39+D40+D41+D49+D51+D57+D58+D56</f>
        <v>498465</v>
      </c>
      <c r="E38" s="13" t="str">
        <f t="shared" si="0"/>
        <v>-</v>
      </c>
      <c r="F38" s="99">
        <f t="shared" si="1"/>
        <v>1</v>
      </c>
    </row>
    <row r="39" spans="1:6" ht="28.5" customHeight="1">
      <c r="A39" s="31" t="s">
        <v>17</v>
      </c>
      <c r="B39" s="40" t="s">
        <v>18</v>
      </c>
      <c r="C39" s="77">
        <f>Dolnośląski!C39+KujawskoPomorski!C39+Lubelski!C39+Lubuski!C39+Łódzki!C39+Małopolski!C39+Mazowiecki!C39+Opolski!C39+Podkarpacki!C39+Podlaski!C39+Pomorski!C39+Śląski!C39+Świętokrzyski!C39+WarmińskoMazurski!C39+Wielkopolski!C39+Zachodniopomorski!C39</f>
        <v>23978</v>
      </c>
      <c r="D39" s="77">
        <f>Dolnośląski!D39+KujawskoPomorski!D39+Lubelski!D39+Lubuski!D39+Łódzki!D39+Małopolski!D39+Mazowiecki!D39+Opolski!D39+Podkarpacki!D39+Podlaski!D39+Pomorski!D39+Śląski!D39+Świętokrzyski!D39+WarmińskoMazurski!D39+Wielkopolski!D39+Zachodniopomorski!D39</f>
        <v>23978</v>
      </c>
      <c r="E39" s="96" t="str">
        <f t="shared" si="0"/>
        <v>-</v>
      </c>
      <c r="F39" s="97">
        <f t="shared" si="1"/>
        <v>1</v>
      </c>
    </row>
    <row r="40" spans="1:6" ht="28.5" customHeight="1">
      <c r="A40" s="31" t="s">
        <v>19</v>
      </c>
      <c r="B40" s="40" t="s">
        <v>20</v>
      </c>
      <c r="C40" s="77">
        <f>Dolnośląski!C40+KujawskoPomorski!C40+Lubelski!C40+Lubuski!C40+Łódzki!C40+Małopolski!C40+Mazowiecki!C40+Opolski!C40+Podkarpacki!C40+Podlaski!C40+Pomorski!C40+Śląski!C40+Świętokrzyski!C40+WarmińskoMazurski!C40+Wielkopolski!C40+Zachodniopomorski!C40</f>
        <v>65463</v>
      </c>
      <c r="D40" s="77">
        <f>Dolnośląski!D40+KujawskoPomorski!D40+Lubelski!D40+Lubuski!D40+Łódzki!D40+Małopolski!D40+Mazowiecki!D40+Opolski!D40+Podkarpacki!D40+Podlaski!D40+Pomorski!D40+Śląski!D40+Świętokrzyski!D40+WarmińskoMazurski!D40+Wielkopolski!D40+Zachodniopomorski!D40</f>
        <v>65463</v>
      </c>
      <c r="E40" s="96" t="str">
        <f t="shared" si="0"/>
        <v>-</v>
      </c>
      <c r="F40" s="97">
        <f t="shared" si="1"/>
        <v>1</v>
      </c>
    </row>
    <row r="41" spans="1:6" ht="28.5" customHeight="1">
      <c r="A41" s="31" t="s">
        <v>21</v>
      </c>
      <c r="B41" s="41" t="s">
        <v>251</v>
      </c>
      <c r="C41" s="85">
        <f>C42+C44+C45+C46+C47+C48</f>
        <v>4722</v>
      </c>
      <c r="D41" s="85">
        <f>D42+D44+D45+D46+D47+D48</f>
        <v>4722</v>
      </c>
      <c r="E41" s="96" t="str">
        <f t="shared" si="0"/>
        <v>-</v>
      </c>
      <c r="F41" s="97">
        <f t="shared" si="1"/>
        <v>1</v>
      </c>
    </row>
    <row r="42" spans="1:6" ht="28.5" customHeight="1">
      <c r="A42" s="42" t="s">
        <v>39</v>
      </c>
      <c r="B42" s="43" t="s">
        <v>32</v>
      </c>
      <c r="C42" s="77">
        <f>Dolnośląski!C42+KujawskoPomorski!C42+Lubelski!C42+Lubuski!C42+Łódzki!C42+Małopolski!C42+Mazowiecki!C42+Opolski!C42+Podkarpacki!C42+Podlaski!C42+Pomorski!C42+Śląski!C42+Świętokrzyski!C42+WarmińskoMazurski!C42+Wielkopolski!C42+Zachodniopomorski!C42</f>
        <v>575</v>
      </c>
      <c r="D42" s="77">
        <f>Dolnośląski!D42+KujawskoPomorski!D42+Lubelski!D42+Lubuski!D42+Łódzki!D42+Małopolski!D42+Mazowiecki!D42+Opolski!D42+Podkarpacki!D42+Podlaski!D42+Pomorski!D42+Śląski!D42+Świętokrzyski!D42+WarmińskoMazurski!D42+Wielkopolski!D42+Zachodniopomorski!D42</f>
        <v>575</v>
      </c>
      <c r="E42" s="96" t="str">
        <f t="shared" si="0"/>
        <v>-</v>
      </c>
      <c r="F42" s="97">
        <f t="shared" si="1"/>
        <v>1</v>
      </c>
    </row>
    <row r="43" spans="1:6" ht="28.5" customHeight="1">
      <c r="A43" s="42" t="s">
        <v>40</v>
      </c>
      <c r="B43" s="44" t="s">
        <v>33</v>
      </c>
      <c r="C43" s="77">
        <f>Dolnośląski!C43+KujawskoPomorski!C43+Lubelski!C43+Lubuski!C43+Łódzki!C43+Małopolski!C43+Mazowiecki!C43+Opolski!C43+Podkarpacki!C43+Podlaski!C43+Pomorski!C43+Śląski!C43+Świętokrzyski!C43+WarmińskoMazurski!C43+Wielkopolski!C43+Zachodniopomorski!C43</f>
        <v>548</v>
      </c>
      <c r="D43" s="77">
        <f>Dolnośląski!D43+KujawskoPomorski!D43+Lubelski!D43+Lubuski!D43+Łódzki!D43+Małopolski!D43+Mazowiecki!D43+Opolski!D43+Podkarpacki!D43+Podlaski!D43+Pomorski!D43+Śląski!D43+Świętokrzyski!D43+WarmińskoMazurski!D43+Wielkopolski!D43+Zachodniopomorski!D43</f>
        <v>548</v>
      </c>
      <c r="E43" s="96" t="str">
        <f t="shared" si="0"/>
        <v>-</v>
      </c>
      <c r="F43" s="97">
        <f t="shared" si="1"/>
        <v>1</v>
      </c>
    </row>
    <row r="44" spans="1:6" ht="28.5" customHeight="1">
      <c r="A44" s="42" t="s">
        <v>41</v>
      </c>
      <c r="B44" s="43" t="s">
        <v>34</v>
      </c>
      <c r="C44" s="77">
        <f>Dolnośląski!C44+KujawskoPomorski!C44+Lubelski!C44+Lubuski!C44+Łódzki!C44+Małopolski!C44+Mazowiecki!C44+Opolski!C44+Podkarpacki!C44+Podlaski!C44+Pomorski!C44+Śląski!C44+Świętokrzyski!C44+WarmińskoMazurski!C44+Wielkopolski!C44+Zachodniopomorski!C44</f>
        <v>513</v>
      </c>
      <c r="D44" s="77">
        <f>Dolnośląski!D44+KujawskoPomorski!D44+Lubelski!D44+Lubuski!D44+Łódzki!D44+Małopolski!D44+Mazowiecki!D44+Opolski!D44+Podkarpacki!D44+Podlaski!D44+Pomorski!D44+Śląski!D44+Świętokrzyski!D44+WarmińskoMazurski!D44+Wielkopolski!D44+Zachodniopomorski!D44</f>
        <v>513</v>
      </c>
      <c r="E44" s="96" t="str">
        <f t="shared" si="0"/>
        <v>-</v>
      </c>
      <c r="F44" s="97">
        <f t="shared" si="1"/>
        <v>1</v>
      </c>
    </row>
    <row r="45" spans="1:6" ht="28.5" customHeight="1">
      <c r="A45" s="42" t="s">
        <v>42</v>
      </c>
      <c r="B45" s="43" t="s">
        <v>35</v>
      </c>
      <c r="C45" s="77">
        <f>Dolnośląski!C45+KujawskoPomorski!C45+Lubelski!C45+Lubuski!C45+Łódzki!C45+Małopolski!C45+Mazowiecki!C45+Opolski!C45+Podkarpacki!C45+Podlaski!C45+Pomorski!C45+Śląski!C45+Świętokrzyski!C45+WarmińskoMazurski!C45+Wielkopolski!C45+Zachodniopomorski!C45</f>
        <v>15</v>
      </c>
      <c r="D45" s="77">
        <f>Dolnośląski!D45+KujawskoPomorski!D45+Lubelski!D45+Lubuski!D45+Łódzki!D45+Małopolski!D45+Mazowiecki!D45+Opolski!D45+Podkarpacki!D45+Podlaski!D45+Pomorski!D45+Śląski!D45+Świętokrzyski!D45+WarmińskoMazurski!D45+Wielkopolski!D45+Zachodniopomorski!D45</f>
        <v>15</v>
      </c>
      <c r="E45" s="96" t="str">
        <f t="shared" si="0"/>
        <v>-</v>
      </c>
      <c r="F45" s="97">
        <f t="shared" si="1"/>
        <v>1</v>
      </c>
    </row>
    <row r="46" spans="1:6" ht="28.5" customHeight="1">
      <c r="A46" s="42" t="s">
        <v>43</v>
      </c>
      <c r="B46" s="43" t="s">
        <v>36</v>
      </c>
      <c r="C46" s="77">
        <f>Dolnośląski!C46+KujawskoPomorski!C46+Lubelski!C46+Lubuski!C46+Łódzki!C46+Małopolski!C46+Mazowiecki!C46+Opolski!C46+Podkarpacki!C46+Podlaski!C46+Pomorski!C46+Śląski!C46+Świętokrzyski!C46+WarmińskoMazurski!C46+Wielkopolski!C46+Zachodniopomorski!C46</f>
        <v>0</v>
      </c>
      <c r="D46" s="77">
        <f>Dolnośląski!D46+KujawskoPomorski!D46+Lubelski!D46+Lubuski!D46+Łódzki!D46+Małopolski!D46+Mazowiecki!D46+Opolski!D46+Podkarpacki!D46+Podlaski!D46+Pomorski!D46+Śląski!D46+Świętokrzyski!D46+WarmińskoMazurski!D46+Wielkopolski!D46+Zachodniopomorski!D46</f>
        <v>0</v>
      </c>
      <c r="E46" s="96" t="str">
        <f t="shared" si="0"/>
        <v>-</v>
      </c>
      <c r="F46" s="97" t="str">
        <f t="shared" si="1"/>
        <v>-</v>
      </c>
    </row>
    <row r="47" spans="1:6" ht="28.5" customHeight="1">
      <c r="A47" s="42" t="s">
        <v>44</v>
      </c>
      <c r="B47" s="43" t="s">
        <v>37</v>
      </c>
      <c r="C47" s="77">
        <f>Dolnośląski!C47+KujawskoPomorski!C47+Lubelski!C47+Lubuski!C47+Łódzki!C47+Małopolski!C47+Mazowiecki!C47+Opolski!C47+Podkarpacki!C47+Podlaski!C47+Pomorski!C47+Śląski!C47+Świętokrzyski!C47+WarmińskoMazurski!C47+Wielkopolski!C47+Zachodniopomorski!C47</f>
        <v>3354</v>
      </c>
      <c r="D47" s="77">
        <f>Dolnośląski!D47+KujawskoPomorski!D47+Lubelski!D47+Lubuski!D47+Łódzki!D47+Małopolski!D47+Mazowiecki!D47+Opolski!D47+Podkarpacki!D47+Podlaski!D47+Pomorski!D47+Śląski!D47+Świętokrzyski!D47+WarmińskoMazurski!D47+Wielkopolski!D47+Zachodniopomorski!D47</f>
        <v>3354</v>
      </c>
      <c r="E47" s="96" t="str">
        <f t="shared" si="0"/>
        <v>-</v>
      </c>
      <c r="F47" s="97">
        <f t="shared" si="1"/>
        <v>1</v>
      </c>
    </row>
    <row r="48" spans="1:6" ht="28.5" customHeight="1">
      <c r="A48" s="42" t="s">
        <v>45</v>
      </c>
      <c r="B48" s="43" t="s">
        <v>38</v>
      </c>
      <c r="C48" s="77">
        <f>Dolnośląski!C48+KujawskoPomorski!C48+Lubelski!C48+Lubuski!C48+Łódzki!C48+Małopolski!C48+Mazowiecki!C48+Opolski!C48+Podkarpacki!C48+Podlaski!C48+Pomorski!C48+Śląski!C48+Świętokrzyski!C48+WarmińskoMazurski!C48+Wielkopolski!C48+Zachodniopomorski!C48</f>
        <v>265</v>
      </c>
      <c r="D48" s="77">
        <f>Dolnośląski!D48+KujawskoPomorski!D48+Lubelski!D48+Lubuski!D48+Łódzki!D48+Małopolski!D48+Mazowiecki!D48+Opolski!D48+Podkarpacki!D48+Podlaski!D48+Pomorski!D48+Śląski!D48+Świętokrzyski!D48+WarmińskoMazurski!D48+Wielkopolski!D48+Zachodniopomorski!D48</f>
        <v>265</v>
      </c>
      <c r="E48" s="96" t="str">
        <f t="shared" si="0"/>
        <v>-</v>
      </c>
      <c r="F48" s="97">
        <f t="shared" si="1"/>
        <v>1</v>
      </c>
    </row>
    <row r="49" spans="1:6" ht="28.5" customHeight="1">
      <c r="A49" s="31" t="s">
        <v>22</v>
      </c>
      <c r="B49" s="40" t="s">
        <v>178</v>
      </c>
      <c r="C49" s="77">
        <f>Dolnośląski!C49+KujawskoPomorski!C49+Lubelski!C49+Lubuski!C49+Łódzki!C49+Małopolski!C49+Mazowiecki!C49+Opolski!C49+Podkarpacki!C49+Podlaski!C49+Pomorski!C49+Śląski!C49+Świętokrzyski!C49+WarmińskoMazurski!C49+Wielkopolski!C49+Zachodniopomorski!C49</f>
        <v>280324</v>
      </c>
      <c r="D49" s="77">
        <f>Dolnośląski!D49+KujawskoPomorski!D49+Lubelski!D49+Lubuski!D49+Łódzki!D49+Małopolski!D49+Mazowiecki!D49+Opolski!D49+Podkarpacki!D49+Podlaski!D49+Pomorski!D49+Śląski!D49+Świętokrzyski!D49+WarmińskoMazurski!D49+Wielkopolski!D49+Zachodniopomorski!D49</f>
        <v>280324</v>
      </c>
      <c r="E49" s="96" t="str">
        <f t="shared" si="0"/>
        <v>-</v>
      </c>
      <c r="F49" s="97">
        <f t="shared" si="1"/>
        <v>1</v>
      </c>
    </row>
    <row r="50" spans="1:6" ht="28.5" customHeight="1">
      <c r="A50" s="42" t="s">
        <v>179</v>
      </c>
      <c r="B50" s="43" t="s">
        <v>180</v>
      </c>
      <c r="C50" s="77">
        <f>Dolnośląski!C50+KujawskoPomorski!C50+Lubelski!C50+Lubuski!C50+Łódzki!C50+Małopolski!C50+Mazowiecki!C50+Opolski!C50+Podkarpacki!C50+Podlaski!C50+Pomorski!C50+Śląski!C50+Świętokrzyski!C50+WarmińskoMazurski!C50+Wielkopolski!C50+Zachodniopomorski!C50</f>
        <v>1183</v>
      </c>
      <c r="D50" s="77">
        <f>Dolnośląski!D50+KujawskoPomorski!D50+Lubelski!D50+Lubuski!D50+Łódzki!D50+Małopolski!D50+Mazowiecki!D50+Opolski!D50+Podkarpacki!D50+Podlaski!D50+Pomorski!D50+Śląski!D50+Świętokrzyski!D50+WarmińskoMazurski!D50+Wielkopolski!D50+Zachodniopomorski!D50</f>
        <v>1183</v>
      </c>
      <c r="E50" s="96" t="str">
        <f t="shared" si="0"/>
        <v>-</v>
      </c>
      <c r="F50" s="97">
        <f t="shared" si="1"/>
        <v>1</v>
      </c>
    </row>
    <row r="51" spans="1:6" ht="28.5" customHeight="1">
      <c r="A51" s="31" t="s">
        <v>23</v>
      </c>
      <c r="B51" s="41" t="s">
        <v>252</v>
      </c>
      <c r="C51" s="77">
        <f>C52+C53+C54+C55</f>
        <v>62160</v>
      </c>
      <c r="D51" s="77">
        <f>D52+D53+D54+D55</f>
        <v>62160</v>
      </c>
      <c r="E51" s="96" t="str">
        <f t="shared" si="0"/>
        <v>-</v>
      </c>
      <c r="F51" s="97">
        <f t="shared" si="1"/>
        <v>1</v>
      </c>
    </row>
    <row r="52" spans="1:6" ht="28.5" customHeight="1">
      <c r="A52" s="42" t="s">
        <v>50</v>
      </c>
      <c r="B52" s="43" t="s">
        <v>46</v>
      </c>
      <c r="C52" s="77">
        <f>Dolnośląski!C52+KujawskoPomorski!C52+Lubelski!C52+Lubuski!C52+Łódzki!C52+Małopolski!C52+Mazowiecki!C52+Opolski!C52+Podkarpacki!C52+Podlaski!C52+Pomorski!C52+Śląski!C52+Świętokrzyski!C52+WarmińskoMazurski!C52+Wielkopolski!C52+Zachodniopomorski!C52</f>
        <v>47873</v>
      </c>
      <c r="D52" s="77">
        <f>Dolnośląski!D52+KujawskoPomorski!D52+Lubelski!D52+Lubuski!D52+Łódzki!D52+Małopolski!D52+Mazowiecki!D52+Opolski!D52+Podkarpacki!D52+Podlaski!D52+Pomorski!D52+Śląski!D52+Świętokrzyski!D52+WarmińskoMazurski!D52+Wielkopolski!D52+Zachodniopomorski!D52</f>
        <v>47873</v>
      </c>
      <c r="E52" s="96" t="str">
        <f t="shared" si="0"/>
        <v>-</v>
      </c>
      <c r="F52" s="97">
        <f t="shared" si="1"/>
        <v>1</v>
      </c>
    </row>
    <row r="53" spans="1:6" ht="28.5" customHeight="1">
      <c r="A53" s="42" t="s">
        <v>51</v>
      </c>
      <c r="B53" s="43" t="s">
        <v>47</v>
      </c>
      <c r="C53" s="77">
        <f>Dolnośląski!C53+KujawskoPomorski!C53+Lubelski!C53+Lubuski!C53+Łódzki!C53+Małopolski!C53+Mazowiecki!C53+Opolski!C53+Podkarpacki!C53+Podlaski!C53+Pomorski!C53+Śląski!C53+Świętokrzyski!C53+WarmińskoMazurski!C53+Wielkopolski!C53+Zachodniopomorski!C53</f>
        <v>6749</v>
      </c>
      <c r="D53" s="77">
        <f>Dolnośląski!D53+KujawskoPomorski!D53+Lubelski!D53+Lubuski!D53+Łódzki!D53+Małopolski!D53+Mazowiecki!D53+Opolski!D53+Podkarpacki!D53+Podlaski!D53+Pomorski!D53+Śląski!D53+Świętokrzyski!D53+WarmińskoMazurski!D53+Wielkopolski!D53+Zachodniopomorski!D53</f>
        <v>6749</v>
      </c>
      <c r="E53" s="96" t="str">
        <f t="shared" si="0"/>
        <v>-</v>
      </c>
      <c r="F53" s="97">
        <f t="shared" si="1"/>
        <v>1</v>
      </c>
    </row>
    <row r="54" spans="1:6" ht="28.5" customHeight="1">
      <c r="A54" s="42" t="s">
        <v>52</v>
      </c>
      <c r="B54" s="43" t="s">
        <v>48</v>
      </c>
      <c r="C54" s="77">
        <f>Dolnośląski!C54+KujawskoPomorski!C54+Lubelski!C54+Lubuski!C54+Łódzki!C54+Małopolski!C54+Mazowiecki!C54+Opolski!C54+Podkarpacki!C54+Podlaski!C54+Pomorski!C54+Śląski!C54+Świętokrzyski!C54+WarmińskoMazurski!C54+Wielkopolski!C54+Zachodniopomorski!C54</f>
        <v>0</v>
      </c>
      <c r="D54" s="77">
        <f>Dolnośląski!D54+KujawskoPomorski!D54+Lubelski!D54+Lubuski!D54+Łódzki!D54+Małopolski!D54+Mazowiecki!D54+Opolski!D54+Podkarpacki!D54+Podlaski!D54+Pomorski!D54+Śląski!D54+Świętokrzyski!D54+WarmińskoMazurski!D54+Wielkopolski!D54+Zachodniopomorski!D54</f>
        <v>0</v>
      </c>
      <c r="E54" s="96" t="str">
        <f t="shared" si="0"/>
        <v>-</v>
      </c>
      <c r="F54" s="97" t="str">
        <f t="shared" si="1"/>
        <v>-</v>
      </c>
    </row>
    <row r="55" spans="1:6" ht="28.5" customHeight="1">
      <c r="A55" s="42" t="s">
        <v>53</v>
      </c>
      <c r="B55" s="43" t="s">
        <v>49</v>
      </c>
      <c r="C55" s="77">
        <f>Dolnośląski!C55+KujawskoPomorski!C55+Lubelski!C55+Lubuski!C55+Łódzki!C55+Małopolski!C55+Mazowiecki!C55+Opolski!C55+Podkarpacki!C55+Podlaski!C55+Pomorski!C55+Śląski!C55+Świętokrzyski!C55+WarmińskoMazurski!C55+Wielkopolski!C55+Zachodniopomorski!C55</f>
        <v>7538</v>
      </c>
      <c r="D55" s="77">
        <f>Dolnośląski!D55+KujawskoPomorski!D55+Lubelski!D55+Lubuski!D55+Łódzki!D55+Małopolski!D55+Mazowiecki!D55+Opolski!D55+Podkarpacki!D55+Podlaski!D55+Pomorski!D55+Śląski!D55+Świętokrzyski!D55+WarmińskoMazurski!D55+Wielkopolski!D55+Zachodniopomorski!D55</f>
        <v>7538</v>
      </c>
      <c r="E55" s="96" t="str">
        <f t="shared" si="0"/>
        <v>-</v>
      </c>
      <c r="F55" s="97">
        <f t="shared" si="1"/>
        <v>1</v>
      </c>
    </row>
    <row r="56" spans="1:6" ht="28.5" customHeight="1">
      <c r="A56" s="31" t="s">
        <v>24</v>
      </c>
      <c r="B56" s="40" t="s">
        <v>25</v>
      </c>
      <c r="C56" s="77">
        <f>Dolnośląski!C56+KujawskoPomorski!C56+Lubelski!C56+Lubuski!C56+Łódzki!C56+Małopolski!C56+Mazowiecki!C56+Opolski!C56+Podkarpacki!C56+Podlaski!C56+Pomorski!C56+Śląski!C56+Świętokrzyski!C56+WarmińskoMazurski!C56+Wielkopolski!C56+Zachodniopomorski!C56</f>
        <v>0</v>
      </c>
      <c r="D56" s="77">
        <f>Dolnośląski!D56+KujawskoPomorski!D56+Lubelski!D56+Lubuski!D56+Łódzki!D56+Małopolski!D56+Mazowiecki!D56+Opolski!D56+Podkarpacki!D56+Podlaski!D56+Pomorski!D56+Śląski!D56+Świętokrzyski!D56+WarmińskoMazurski!D56+Wielkopolski!D56+Zachodniopomorski!D56</f>
        <v>0</v>
      </c>
      <c r="E56" s="96" t="str">
        <f t="shared" si="0"/>
        <v>-</v>
      </c>
      <c r="F56" s="97" t="str">
        <f t="shared" si="1"/>
        <v>-</v>
      </c>
    </row>
    <row r="57" spans="1:6" ht="28.5" customHeight="1">
      <c r="A57" s="31" t="s">
        <v>26</v>
      </c>
      <c r="B57" s="40" t="s">
        <v>181</v>
      </c>
      <c r="C57" s="81">
        <f>Dolnośląski!C57+KujawskoPomorski!C57+Lubelski!C57+Lubuski!C57+Łódzki!C57+Małopolski!C57+Mazowiecki!C57+Opolski!C57+Podkarpacki!C57+Podlaski!C57+Pomorski!C57+Śląski!C57+Świętokrzyski!C57+WarmińskoMazurski!C57+Wielkopolski!C57+Zachodniopomorski!C57</f>
        <v>56297</v>
      </c>
      <c r="D57" s="81">
        <f>Dolnośląski!D57+KujawskoPomorski!D57+Lubelski!D57+Lubuski!D57+Łódzki!D57+Małopolski!D57+Mazowiecki!D57+Opolski!D57+Podkarpacki!D57+Podlaski!D57+Pomorski!D57+Śląski!D57+Świętokrzyski!D57+WarmińskoMazurski!D57+Wielkopolski!D57+Zachodniopomorski!D57</f>
        <v>56297</v>
      </c>
      <c r="E57" s="96" t="str">
        <f t="shared" si="0"/>
        <v>-</v>
      </c>
      <c r="F57" s="100">
        <f t="shared" si="1"/>
        <v>1</v>
      </c>
    </row>
    <row r="58" spans="1:6" ht="28.5" customHeight="1">
      <c r="A58" s="31" t="s">
        <v>27</v>
      </c>
      <c r="B58" s="40" t="s">
        <v>28</v>
      </c>
      <c r="C58" s="77">
        <f>Dolnośląski!C58+KujawskoPomorski!C58+Lubelski!C58+Lubuski!C58+Łódzki!C58+Małopolski!C58+Mazowiecki!C58+Opolski!C58+Podkarpacki!C58+Podlaski!C58+Pomorski!C58+Śląski!C58+Świętokrzyski!C58+WarmińskoMazurski!C58+Wielkopolski!C58+Zachodniopomorski!C58</f>
        <v>5521</v>
      </c>
      <c r="D58" s="77">
        <f>Dolnośląski!D58+KujawskoPomorski!D58+Lubelski!D58+Lubuski!D58+Łódzki!D58+Małopolski!D58+Mazowiecki!D58+Opolski!D58+Podkarpacki!D58+Podlaski!D58+Pomorski!D58+Śląski!D58+Świętokrzyski!D58+WarmińskoMazurski!D58+Wielkopolski!D58+Zachodniopomorski!D58</f>
        <v>5521</v>
      </c>
      <c r="E58" s="96" t="str">
        <f t="shared" si="0"/>
        <v>-</v>
      </c>
      <c r="F58" s="97">
        <f t="shared" si="1"/>
        <v>1</v>
      </c>
    </row>
    <row r="59" spans="1:6" s="3" customFormat="1" ht="30" customHeight="1">
      <c r="A59" s="33" t="s">
        <v>29</v>
      </c>
      <c r="B59" s="45" t="s">
        <v>182</v>
      </c>
      <c r="C59" s="83">
        <f>C60+C61+C62+C63</f>
        <v>275041</v>
      </c>
      <c r="D59" s="83">
        <f>D60+D61+D62+D63</f>
        <v>211197</v>
      </c>
      <c r="E59" s="13">
        <f t="shared" si="0"/>
        <v>-63844</v>
      </c>
      <c r="F59" s="101">
        <f t="shared" si="1"/>
        <v>0.7679</v>
      </c>
    </row>
    <row r="60" spans="1:6" ht="42" customHeight="1">
      <c r="A60" s="31" t="s">
        <v>102</v>
      </c>
      <c r="B60" s="40" t="s">
        <v>124</v>
      </c>
      <c r="C60" s="77">
        <f>Dolnośląski!C60+KujawskoPomorski!C60+Lubelski!C60+Lubuski!C60+Łódzki!C60+Małopolski!C60+Mazowiecki!C60+Opolski!C60+Podkarpacki!C60+Podlaski!C60+Pomorski!C60+Śląski!C60+Świętokrzyski!C60+WarmińskoMazurski!C60+Wielkopolski!C60+Zachodniopomorski!C60</f>
        <v>581</v>
      </c>
      <c r="D60" s="77">
        <f>Dolnośląski!D60+KujawskoPomorski!D60+Lubelski!D60+Lubuski!D60+Łódzki!D60+Małopolski!D60+Mazowiecki!D60+Opolski!D60+Podkarpacki!D60+Podlaski!D60+Pomorski!D60+Śląski!D60+Świętokrzyski!D60+WarmińskoMazurski!D60+Wielkopolski!D60+Zachodniopomorski!D60</f>
        <v>374</v>
      </c>
      <c r="E60" s="77">
        <f t="shared" si="0"/>
        <v>-207</v>
      </c>
      <c r="F60" s="97">
        <f t="shared" si="1"/>
        <v>0.6437</v>
      </c>
    </row>
    <row r="61" spans="1:6" ht="31.5" customHeight="1">
      <c r="A61" s="31" t="s">
        <v>30</v>
      </c>
      <c r="B61" s="40" t="s">
        <v>56</v>
      </c>
      <c r="C61" s="77">
        <f>Dolnośląski!C61+KujawskoPomorski!C61+Lubelski!C61+Lubuski!C61+Łódzki!C61+Małopolski!C61+Mazowiecki!C61+Opolski!C61+Podkarpacki!C61+Podlaski!C61+Pomorski!C61+Śląski!C61+Świętokrzyski!C61+WarmińskoMazurski!C61+Wielkopolski!C61+Zachodniopomorski!C61</f>
        <v>242250</v>
      </c>
      <c r="D61" s="77">
        <f>Dolnośląski!D61+KujawskoPomorski!D61+Lubelski!D61+Lubuski!D61+Łódzki!D61+Małopolski!D61+Mazowiecki!D61+Opolski!D61+Podkarpacki!D61+Podlaski!D61+Pomorski!D61+Śląski!D61+Świętokrzyski!D61+WarmińskoMazurski!D61+Wielkopolski!D61+Zachodniopomorski!D61</f>
        <v>171275</v>
      </c>
      <c r="E61" s="77">
        <f t="shared" si="0"/>
        <v>-70975</v>
      </c>
      <c r="F61" s="97">
        <f t="shared" si="1"/>
        <v>0.707</v>
      </c>
    </row>
    <row r="62" spans="1:6" ht="31.5" customHeight="1">
      <c r="A62" s="31" t="s">
        <v>31</v>
      </c>
      <c r="B62" s="40" t="s">
        <v>104</v>
      </c>
      <c r="C62" s="77">
        <f>Dolnośląski!C62+KujawskoPomorski!C62+Lubelski!C62+Lubuski!C62+Łódzki!C62+Małopolski!C62+Mazowiecki!C62+Opolski!C62+Podkarpacki!C62+Podlaski!C62+Pomorski!C62+Śląski!C62+Świętokrzyski!C62+WarmińskoMazurski!C62+Wielkopolski!C62+Zachodniopomorski!C62</f>
        <v>0</v>
      </c>
      <c r="D62" s="77">
        <f>Dolnośląski!D62+KujawskoPomorski!D62+Lubelski!D62+Lubuski!D62+Łódzki!D62+Małopolski!D62+Mazowiecki!D62+Opolski!D62+Podkarpacki!D62+Podlaski!D62+Pomorski!D62+Śląski!D62+Świętokrzyski!D62+WarmińskoMazurski!D62+Wielkopolski!D62+Zachodniopomorski!D62</f>
        <v>0</v>
      </c>
      <c r="E62" s="77" t="str">
        <f t="shared" si="0"/>
        <v>-</v>
      </c>
      <c r="F62" s="97" t="str">
        <f t="shared" si="1"/>
        <v>-</v>
      </c>
    </row>
    <row r="63" spans="1:6" ht="31.5" customHeight="1">
      <c r="A63" s="31" t="s">
        <v>103</v>
      </c>
      <c r="B63" s="40" t="s">
        <v>105</v>
      </c>
      <c r="C63" s="77">
        <f>Dolnośląski!C63+KujawskoPomorski!C63+Lubelski!C63+Lubuski!C63+Łódzki!C63+Małopolski!C63+Mazowiecki!C63+Opolski!C63+Podkarpacki!C63+Podlaski!C63+Pomorski!C63+Śląski!C63+Świętokrzyski!C63+WarmińskoMazurski!C63+Wielkopolski!C63+Zachodniopomorski!C63</f>
        <v>32210</v>
      </c>
      <c r="D63" s="77">
        <f>Dolnośląski!D63+KujawskoPomorski!D63+Lubelski!D63+Lubuski!D63+Łódzki!D63+Małopolski!D63+Mazowiecki!D63+Opolski!D63+Podkarpacki!D63+Podlaski!D63+Pomorski!D63+Śląski!D63+Świętokrzyski!D63+WarmińskoMazurski!D63+Wielkopolski!D63+Zachodniopomorski!D63</f>
        <v>39548</v>
      </c>
      <c r="E63" s="77">
        <f t="shared" si="0"/>
        <v>7338</v>
      </c>
      <c r="F63" s="97">
        <f t="shared" si="1"/>
        <v>1.2278</v>
      </c>
    </row>
    <row r="64" spans="1:6" ht="32.25" customHeight="1">
      <c r="A64" s="33" t="s">
        <v>110</v>
      </c>
      <c r="B64" s="45" t="s">
        <v>129</v>
      </c>
      <c r="C64" s="83">
        <f>Dolnośląski!C64+KujawskoPomorski!C64+Lubelski!C64+Lubuski!C64+Łódzki!C64+Małopolski!C64+Mazowiecki!C64+Opolski!C64+Podkarpacki!C64+Podlaski!C64+Pomorski!C64+Śląski!C64+Świętokrzyski!C64+WarmińskoMazurski!C64+Wielkopolski!C64+Zachodniopomorski!C64</f>
        <v>76878</v>
      </c>
      <c r="D64" s="83">
        <f>Dolnośląski!D64+KujawskoPomorski!D64+Lubelski!D64+Lubuski!D64+Łódzki!D64+Małopolski!D64+Mazowiecki!D64+Opolski!D64+Podkarpacki!D64+Podlaski!D64+Pomorski!D64+Śląski!D64+Świętokrzyski!D64+WarmińskoMazurski!D64+Wielkopolski!D64+Zachodniopomorski!D64</f>
        <v>74258</v>
      </c>
      <c r="E64" s="13">
        <f t="shared" si="0"/>
        <v>-2620</v>
      </c>
      <c r="F64" s="101">
        <f t="shared" si="1"/>
        <v>0.9659</v>
      </c>
    </row>
  </sheetData>
  <sheetProtection formatCells="0" formatColumns="0" formatRows="0" insertColumns="0" insertRows="0" insertHyperlinks="0" deleteColumns="0" deleteRows="0"/>
  <mergeCells count="7">
    <mergeCell ref="F4:F5"/>
    <mergeCell ref="A1:F1"/>
    <mergeCell ref="A4:A5"/>
    <mergeCell ref="B4:B5"/>
    <mergeCell ref="C4:C5"/>
    <mergeCell ref="D4:D5"/>
    <mergeCell ref="E4:E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8" r:id="rId1"/>
  <headerFooter alignWithMargins="0">
    <oddFooter>&amp;R&amp;20&amp;P</oddFooter>
  </headerFooter>
  <ignoredErrors>
    <ignoredError sqref="C57 C10:C11 C8:C9 C12:C33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showGridLines="0" view="pageBreakPreview" zoomScale="55" zoomScaleNormal="70" zoomScaleSheetLayoutView="55" zoomScalePageLayoutView="0" workbookViewId="0" topLeftCell="A1">
      <pane ySplit="7" topLeftCell="A47" activePane="bottomLeft" state="frozen"/>
      <selection pane="topLeft" activeCell="G1" sqref="G1:S65536"/>
      <selection pane="bottomLeft" activeCell="G1" sqref="G1:S65536"/>
    </sheetView>
  </sheetViews>
  <sheetFormatPr defaultColWidth="9.00390625" defaultRowHeight="12.75"/>
  <cols>
    <col min="1" max="1" width="9.125" style="2" customWidth="1"/>
    <col min="2" max="2" width="125.875" style="2" customWidth="1"/>
    <col min="3" max="3" width="25.75390625" style="2" customWidth="1"/>
    <col min="4" max="4" width="26.875" style="2" customWidth="1"/>
    <col min="5" max="5" width="25.125" style="2" customWidth="1"/>
    <col min="6" max="6" width="20.75390625" style="2" customWidth="1"/>
    <col min="7" max="16384" width="9.125" style="2" customWidth="1"/>
  </cols>
  <sheetData>
    <row r="1" spans="1:6" s="48" customFormat="1" ht="38.25" customHeight="1">
      <c r="A1" s="152" t="str">
        <f>NFZ!A1</f>
        <v>ZMIANA PLANU NARODOWEGO FUNDUSZU ZDROWIA NA 2014 R. Z DNIA 30 GRUDNIA 2014 R.</v>
      </c>
      <c r="B1" s="152"/>
      <c r="C1" s="152"/>
      <c r="D1" s="152"/>
      <c r="E1" s="152"/>
      <c r="F1" s="152"/>
    </row>
    <row r="2" spans="1:3" s="50" customFormat="1" ht="33" customHeight="1">
      <c r="A2" s="88" t="s">
        <v>62</v>
      </c>
      <c r="B2" s="88"/>
      <c r="C2" s="94"/>
    </row>
    <row r="3" spans="1:6" ht="33" customHeight="1">
      <c r="A3" s="8"/>
      <c r="B3" s="9"/>
      <c r="C3" s="87"/>
      <c r="D3" s="87"/>
      <c r="E3" s="87" t="s">
        <v>159</v>
      </c>
      <c r="F3" s="10"/>
    </row>
    <row r="4" spans="1:6" s="6" customFormat="1" ht="45" customHeight="1">
      <c r="A4" s="149" t="s">
        <v>132</v>
      </c>
      <c r="B4" s="149" t="s">
        <v>55</v>
      </c>
      <c r="C4" s="150" t="s">
        <v>236</v>
      </c>
      <c r="D4" s="150" t="s">
        <v>191</v>
      </c>
      <c r="E4" s="153" t="s">
        <v>192</v>
      </c>
      <c r="F4" s="153" t="s">
        <v>193</v>
      </c>
    </row>
    <row r="5" spans="1:6" s="6" customFormat="1" ht="45" customHeight="1">
      <c r="A5" s="149"/>
      <c r="B5" s="149"/>
      <c r="C5" s="151"/>
      <c r="D5" s="151"/>
      <c r="E5" s="153"/>
      <c r="F5" s="153"/>
    </row>
    <row r="6" spans="1:6" s="4" customFormat="1" ht="14.25">
      <c r="A6" s="47">
        <v>1</v>
      </c>
      <c r="B6" s="52">
        <v>2</v>
      </c>
      <c r="C6" s="47">
        <v>3</v>
      </c>
      <c r="D6" s="52">
        <v>4</v>
      </c>
      <c r="E6" s="47">
        <v>5</v>
      </c>
      <c r="F6" s="52">
        <v>6</v>
      </c>
    </row>
    <row r="7" spans="1:6" s="3" customFormat="1" ht="30" customHeight="1">
      <c r="A7" s="23" t="s">
        <v>0</v>
      </c>
      <c r="B7" s="39" t="s">
        <v>248</v>
      </c>
      <c r="C7" s="16">
        <f>C8+C9+C10+C15+C16+C17+C18+C19+C20+C21+C22+C23+C24+C25+C29+C30+C32+C33</f>
        <v>4840788</v>
      </c>
      <c r="D7" s="16">
        <f>D8+D9+D10+D15+D16+D17+D18+D19+D20+D21+D22+D23+D24+D25+D29+D30+D32+D33</f>
        <v>4845795</v>
      </c>
      <c r="E7" s="13">
        <f>IF(C7=D7,"-",D7-C7)</f>
        <v>5007</v>
      </c>
      <c r="F7" s="95">
        <f>IF(C7=0,"-",D7/C7)</f>
        <v>1.001</v>
      </c>
    </row>
    <row r="8" spans="1:6" ht="33" customHeight="1">
      <c r="A8" s="29" t="s">
        <v>1</v>
      </c>
      <c r="B8" s="35" t="s">
        <v>133</v>
      </c>
      <c r="C8" s="81">
        <v>580515</v>
      </c>
      <c r="D8" s="25">
        <f>C8</f>
        <v>580515</v>
      </c>
      <c r="E8" s="96" t="str">
        <f aca="true" t="shared" si="0" ref="E8:E64">IF(C8=D8,"-",D8-C8)</f>
        <v>-</v>
      </c>
      <c r="F8" s="97">
        <f aca="true" t="shared" si="1" ref="F8:F64">IF(C8=0,"-",D8/C8)</f>
        <v>1</v>
      </c>
    </row>
    <row r="9" spans="1:6" ht="33" customHeight="1">
      <c r="A9" s="29" t="s">
        <v>2</v>
      </c>
      <c r="B9" s="35" t="s">
        <v>134</v>
      </c>
      <c r="C9" s="81">
        <v>419190</v>
      </c>
      <c r="D9" s="25">
        <f aca="true" t="shared" si="2" ref="D9:D34">C9</f>
        <v>419190</v>
      </c>
      <c r="E9" s="96" t="str">
        <f t="shared" si="0"/>
        <v>-</v>
      </c>
      <c r="F9" s="97">
        <f t="shared" si="1"/>
        <v>1</v>
      </c>
    </row>
    <row r="10" spans="1:6" ht="33" customHeight="1">
      <c r="A10" s="29" t="s">
        <v>3</v>
      </c>
      <c r="B10" s="35" t="s">
        <v>131</v>
      </c>
      <c r="C10" s="81">
        <v>2343664</v>
      </c>
      <c r="D10" s="25">
        <f t="shared" si="2"/>
        <v>2343664</v>
      </c>
      <c r="E10" s="96" t="str">
        <f t="shared" si="0"/>
        <v>-</v>
      </c>
      <c r="F10" s="97">
        <f t="shared" si="1"/>
        <v>1</v>
      </c>
    </row>
    <row r="11" spans="1:6" ht="31.5" customHeight="1">
      <c r="A11" s="28" t="s">
        <v>57</v>
      </c>
      <c r="B11" s="34" t="s">
        <v>160</v>
      </c>
      <c r="C11" s="81">
        <v>207837</v>
      </c>
      <c r="D11" s="25">
        <f t="shared" si="2"/>
        <v>207837</v>
      </c>
      <c r="E11" s="96" t="str">
        <f t="shared" si="0"/>
        <v>-</v>
      </c>
      <c r="F11" s="97">
        <f t="shared" si="1"/>
        <v>1</v>
      </c>
    </row>
    <row r="12" spans="1:6" ht="31.5" customHeight="1">
      <c r="A12" s="28" t="s">
        <v>161</v>
      </c>
      <c r="B12" s="34" t="s">
        <v>164</v>
      </c>
      <c r="C12" s="81">
        <v>192654</v>
      </c>
      <c r="D12" s="25">
        <f t="shared" si="2"/>
        <v>192654</v>
      </c>
      <c r="E12" s="96" t="str">
        <f t="shared" si="0"/>
        <v>-</v>
      </c>
      <c r="F12" s="97">
        <f t="shared" si="1"/>
        <v>1</v>
      </c>
    </row>
    <row r="13" spans="1:6" ht="31.5" customHeight="1">
      <c r="A13" s="28" t="s">
        <v>162</v>
      </c>
      <c r="B13" s="34" t="s">
        <v>165</v>
      </c>
      <c r="C13" s="81">
        <v>108496</v>
      </c>
      <c r="D13" s="25">
        <f t="shared" si="2"/>
        <v>108496</v>
      </c>
      <c r="E13" s="96" t="str">
        <f t="shared" si="0"/>
        <v>-</v>
      </c>
      <c r="F13" s="97">
        <f t="shared" si="1"/>
        <v>1</v>
      </c>
    </row>
    <row r="14" spans="1:6" ht="31.5" customHeight="1">
      <c r="A14" s="28" t="s">
        <v>163</v>
      </c>
      <c r="B14" s="34" t="s">
        <v>166</v>
      </c>
      <c r="C14" s="81">
        <v>43319</v>
      </c>
      <c r="D14" s="25">
        <f t="shared" si="2"/>
        <v>43319</v>
      </c>
      <c r="E14" s="96" t="str">
        <f t="shared" si="0"/>
        <v>-</v>
      </c>
      <c r="F14" s="97">
        <f t="shared" si="1"/>
        <v>1</v>
      </c>
    </row>
    <row r="15" spans="1:6" ht="33" customHeight="1">
      <c r="A15" s="29" t="s">
        <v>4</v>
      </c>
      <c r="B15" s="35" t="s">
        <v>139</v>
      </c>
      <c r="C15" s="81">
        <v>183918</v>
      </c>
      <c r="D15" s="25">
        <f t="shared" si="2"/>
        <v>183918</v>
      </c>
      <c r="E15" s="96" t="str">
        <f t="shared" si="0"/>
        <v>-</v>
      </c>
      <c r="F15" s="97">
        <f t="shared" si="1"/>
        <v>1</v>
      </c>
    </row>
    <row r="16" spans="1:6" ht="33" customHeight="1">
      <c r="A16" s="29" t="s">
        <v>5</v>
      </c>
      <c r="B16" s="35" t="s">
        <v>135</v>
      </c>
      <c r="C16" s="81">
        <v>159755</v>
      </c>
      <c r="D16" s="25">
        <f t="shared" si="2"/>
        <v>159755</v>
      </c>
      <c r="E16" s="96" t="str">
        <f t="shared" si="0"/>
        <v>-</v>
      </c>
      <c r="F16" s="97">
        <f t="shared" si="1"/>
        <v>1</v>
      </c>
    </row>
    <row r="17" spans="1:6" ht="33" customHeight="1">
      <c r="A17" s="29" t="s">
        <v>6</v>
      </c>
      <c r="B17" s="35" t="s">
        <v>141</v>
      </c>
      <c r="C17" s="81">
        <v>91519</v>
      </c>
      <c r="D17" s="25">
        <f>C17+1807</f>
        <v>93326</v>
      </c>
      <c r="E17" s="96">
        <f t="shared" si="0"/>
        <v>1807</v>
      </c>
      <c r="F17" s="97">
        <f t="shared" si="1"/>
        <v>1.0197</v>
      </c>
    </row>
    <row r="18" spans="1:6" ht="33" customHeight="1">
      <c r="A18" s="29" t="s">
        <v>7</v>
      </c>
      <c r="B18" s="35" t="s">
        <v>140</v>
      </c>
      <c r="C18" s="81">
        <v>29132</v>
      </c>
      <c r="D18" s="25">
        <f>C18+3200</f>
        <v>32332</v>
      </c>
      <c r="E18" s="96">
        <f t="shared" si="0"/>
        <v>3200</v>
      </c>
      <c r="F18" s="97">
        <f t="shared" si="1"/>
        <v>1.1098</v>
      </c>
    </row>
    <row r="19" spans="1:6" ht="33" customHeight="1">
      <c r="A19" s="29" t="s">
        <v>8</v>
      </c>
      <c r="B19" s="35" t="s">
        <v>136</v>
      </c>
      <c r="C19" s="81">
        <v>118510</v>
      </c>
      <c r="D19" s="25">
        <f t="shared" si="2"/>
        <v>118510</v>
      </c>
      <c r="E19" s="96" t="str">
        <f t="shared" si="0"/>
        <v>-</v>
      </c>
      <c r="F19" s="97">
        <f t="shared" si="1"/>
        <v>1</v>
      </c>
    </row>
    <row r="20" spans="1:6" ht="33" customHeight="1">
      <c r="A20" s="29" t="s">
        <v>9</v>
      </c>
      <c r="B20" s="35" t="s">
        <v>137</v>
      </c>
      <c r="C20" s="81">
        <v>60647</v>
      </c>
      <c r="D20" s="25">
        <f t="shared" si="2"/>
        <v>60647</v>
      </c>
      <c r="E20" s="96" t="str">
        <f t="shared" si="0"/>
        <v>-</v>
      </c>
      <c r="F20" s="97">
        <f t="shared" si="1"/>
        <v>1</v>
      </c>
    </row>
    <row r="21" spans="1:6" ht="33" customHeight="1">
      <c r="A21" s="29" t="s">
        <v>10</v>
      </c>
      <c r="B21" s="35" t="s">
        <v>142</v>
      </c>
      <c r="C21" s="81">
        <v>4201</v>
      </c>
      <c r="D21" s="25">
        <f t="shared" si="2"/>
        <v>4201</v>
      </c>
      <c r="E21" s="96" t="str">
        <f t="shared" si="0"/>
        <v>-</v>
      </c>
      <c r="F21" s="97">
        <f t="shared" si="1"/>
        <v>1</v>
      </c>
    </row>
    <row r="22" spans="1:6" ht="46.5" customHeight="1">
      <c r="A22" s="29" t="s">
        <v>11</v>
      </c>
      <c r="B22" s="35" t="s">
        <v>138</v>
      </c>
      <c r="C22" s="81">
        <v>13513</v>
      </c>
      <c r="D22" s="25">
        <f t="shared" si="2"/>
        <v>13513</v>
      </c>
      <c r="E22" s="96" t="str">
        <f t="shared" si="0"/>
        <v>-</v>
      </c>
      <c r="F22" s="97">
        <f t="shared" si="1"/>
        <v>1</v>
      </c>
    </row>
    <row r="23" spans="1:6" ht="33" customHeight="1">
      <c r="A23" s="29" t="s">
        <v>12</v>
      </c>
      <c r="B23" s="35" t="s">
        <v>185</v>
      </c>
      <c r="C23" s="81">
        <v>127348</v>
      </c>
      <c r="D23" s="25">
        <f t="shared" si="2"/>
        <v>127348</v>
      </c>
      <c r="E23" s="96" t="str">
        <f t="shared" si="0"/>
        <v>-</v>
      </c>
      <c r="F23" s="97">
        <f t="shared" si="1"/>
        <v>1</v>
      </c>
    </row>
    <row r="24" spans="1:6" ht="33" customHeight="1">
      <c r="A24" s="29" t="s">
        <v>13</v>
      </c>
      <c r="B24" s="35" t="s">
        <v>167</v>
      </c>
      <c r="C24" s="81">
        <v>71300</v>
      </c>
      <c r="D24" s="25">
        <f t="shared" si="2"/>
        <v>71300</v>
      </c>
      <c r="E24" s="96" t="str">
        <f t="shared" si="0"/>
        <v>-</v>
      </c>
      <c r="F24" s="97">
        <f t="shared" si="1"/>
        <v>1</v>
      </c>
    </row>
    <row r="25" spans="1:6" ht="33" customHeight="1">
      <c r="A25" s="30" t="s">
        <v>14</v>
      </c>
      <c r="B25" s="78" t="s">
        <v>249</v>
      </c>
      <c r="C25" s="81">
        <f>SUM(C26:C28)</f>
        <v>604339</v>
      </c>
      <c r="D25" s="81">
        <f>SUM(D26:D28)</f>
        <v>604339</v>
      </c>
      <c r="E25" s="96" t="str">
        <f t="shared" si="0"/>
        <v>-</v>
      </c>
      <c r="F25" s="97">
        <f t="shared" si="1"/>
        <v>1</v>
      </c>
    </row>
    <row r="26" spans="1:6" ht="31.5">
      <c r="A26" s="28" t="s">
        <v>143</v>
      </c>
      <c r="B26" s="34" t="s">
        <v>170</v>
      </c>
      <c r="C26" s="81">
        <v>602339</v>
      </c>
      <c r="D26" s="25">
        <f t="shared" si="2"/>
        <v>602339</v>
      </c>
      <c r="E26" s="96" t="str">
        <f t="shared" si="0"/>
        <v>-</v>
      </c>
      <c r="F26" s="97">
        <f t="shared" si="1"/>
        <v>1</v>
      </c>
    </row>
    <row r="27" spans="1:6" ht="31.5" customHeight="1">
      <c r="A27" s="28" t="s">
        <v>169</v>
      </c>
      <c r="B27" s="34" t="s">
        <v>172</v>
      </c>
      <c r="C27" s="81">
        <v>1000</v>
      </c>
      <c r="D27" s="25">
        <f t="shared" si="2"/>
        <v>1000</v>
      </c>
      <c r="E27" s="96" t="str">
        <f t="shared" si="0"/>
        <v>-</v>
      </c>
      <c r="F27" s="97">
        <f t="shared" si="1"/>
        <v>1</v>
      </c>
    </row>
    <row r="28" spans="1:6" ht="31.5" customHeight="1">
      <c r="A28" s="28" t="s">
        <v>173</v>
      </c>
      <c r="B28" s="34" t="s">
        <v>171</v>
      </c>
      <c r="C28" s="81">
        <v>1000</v>
      </c>
      <c r="D28" s="25">
        <f t="shared" si="2"/>
        <v>1000</v>
      </c>
      <c r="E28" s="96" t="str">
        <f t="shared" si="0"/>
        <v>-</v>
      </c>
      <c r="F28" s="97">
        <f t="shared" si="1"/>
        <v>1</v>
      </c>
    </row>
    <row r="29" spans="1:6" ht="33" customHeight="1">
      <c r="A29" s="31" t="s">
        <v>15</v>
      </c>
      <c r="B29" s="36" t="s">
        <v>122</v>
      </c>
      <c r="C29" s="81">
        <v>0</v>
      </c>
      <c r="D29" s="25">
        <f t="shared" si="2"/>
        <v>0</v>
      </c>
      <c r="E29" s="96" t="str">
        <f t="shared" si="0"/>
        <v>-</v>
      </c>
      <c r="F29" s="97" t="str">
        <f t="shared" si="1"/>
        <v>-</v>
      </c>
    </row>
    <row r="30" spans="1:6" ht="33" customHeight="1">
      <c r="A30" s="31" t="s">
        <v>119</v>
      </c>
      <c r="B30" s="37" t="s">
        <v>174</v>
      </c>
      <c r="C30" s="81">
        <v>0</v>
      </c>
      <c r="D30" s="25">
        <f t="shared" si="2"/>
        <v>0</v>
      </c>
      <c r="E30" s="96" t="str">
        <f t="shared" si="0"/>
        <v>-</v>
      </c>
      <c r="F30" s="97" t="str">
        <f t="shared" si="1"/>
        <v>-</v>
      </c>
    </row>
    <row r="31" spans="1:6" ht="31.5" customHeight="1">
      <c r="A31" s="28" t="s">
        <v>175</v>
      </c>
      <c r="B31" s="34" t="s">
        <v>187</v>
      </c>
      <c r="C31" s="81">
        <v>0</v>
      </c>
      <c r="D31" s="25">
        <f t="shared" si="2"/>
        <v>0</v>
      </c>
      <c r="E31" s="96" t="str">
        <f t="shared" si="0"/>
        <v>-</v>
      </c>
      <c r="F31" s="97" t="str">
        <f t="shared" si="1"/>
        <v>-</v>
      </c>
    </row>
    <row r="32" spans="1:6" ht="33" customHeight="1">
      <c r="A32" s="31" t="s">
        <v>120</v>
      </c>
      <c r="B32" s="37" t="s">
        <v>123</v>
      </c>
      <c r="C32" s="81">
        <v>0</v>
      </c>
      <c r="D32" s="25">
        <f t="shared" si="2"/>
        <v>0</v>
      </c>
      <c r="E32" s="96" t="str">
        <f t="shared" si="0"/>
        <v>-</v>
      </c>
      <c r="F32" s="97" t="str">
        <f t="shared" si="1"/>
        <v>-</v>
      </c>
    </row>
    <row r="33" spans="1:6" ht="33" customHeight="1">
      <c r="A33" s="31" t="s">
        <v>121</v>
      </c>
      <c r="B33" s="37" t="s">
        <v>186</v>
      </c>
      <c r="C33" s="81">
        <v>33237</v>
      </c>
      <c r="D33" s="25">
        <f t="shared" si="2"/>
        <v>33237</v>
      </c>
      <c r="E33" s="96" t="str">
        <f t="shared" si="0"/>
        <v>-</v>
      </c>
      <c r="F33" s="97">
        <f t="shared" si="1"/>
        <v>1</v>
      </c>
    </row>
    <row r="34" spans="1:6" ht="51.75" customHeight="1">
      <c r="A34" s="31" t="s">
        <v>246</v>
      </c>
      <c r="B34" s="37" t="s">
        <v>247</v>
      </c>
      <c r="C34" s="81">
        <v>0</v>
      </c>
      <c r="D34" s="25">
        <f t="shared" si="2"/>
        <v>0</v>
      </c>
      <c r="E34" s="96" t="str">
        <f>IF(C34=D34,"-",D34-C34)</f>
        <v>-</v>
      </c>
      <c r="F34" s="97" t="str">
        <f>IF(C34=0,"-",D34/C34)</f>
        <v>-</v>
      </c>
    </row>
    <row r="35" spans="1:6" s="5" customFormat="1" ht="31.5" customHeight="1">
      <c r="A35" s="32" t="s">
        <v>59</v>
      </c>
      <c r="B35" s="38" t="s">
        <v>60</v>
      </c>
      <c r="C35" s="84">
        <v>0</v>
      </c>
      <c r="D35" s="92">
        <f>C35</f>
        <v>0</v>
      </c>
      <c r="E35" s="15" t="str">
        <f t="shared" si="0"/>
        <v>-</v>
      </c>
      <c r="F35" s="98" t="str">
        <f t="shared" si="1"/>
        <v>-</v>
      </c>
    </row>
    <row r="36" spans="1:6" s="5" customFormat="1" ht="31.5" customHeight="1">
      <c r="A36" s="32" t="s">
        <v>58</v>
      </c>
      <c r="B36" s="38" t="s">
        <v>61</v>
      </c>
      <c r="C36" s="84">
        <v>139228</v>
      </c>
      <c r="D36" s="93">
        <f>C36</f>
        <v>139228</v>
      </c>
      <c r="E36" s="15" t="str">
        <f t="shared" si="0"/>
        <v>-</v>
      </c>
      <c r="F36" s="98">
        <f t="shared" si="1"/>
        <v>1</v>
      </c>
    </row>
    <row r="37" spans="1:6" s="5" customFormat="1" ht="42.75" customHeight="1">
      <c r="A37" s="32" t="s">
        <v>176</v>
      </c>
      <c r="B37" s="38" t="s">
        <v>177</v>
      </c>
      <c r="C37" s="84">
        <v>840312</v>
      </c>
      <c r="D37" s="84">
        <f>D12+D14+D25+D31</f>
        <v>840312</v>
      </c>
      <c r="E37" s="15" t="str">
        <f t="shared" si="0"/>
        <v>-</v>
      </c>
      <c r="F37" s="98">
        <f t="shared" si="1"/>
        <v>1</v>
      </c>
    </row>
    <row r="38" spans="1:6" s="3" customFormat="1" ht="30" customHeight="1">
      <c r="A38" s="26" t="s">
        <v>16</v>
      </c>
      <c r="B38" s="46" t="s">
        <v>250</v>
      </c>
      <c r="C38" s="24">
        <f>C39+C40+C41+C49+C51+C57+C58+C56</f>
        <v>38684</v>
      </c>
      <c r="D38" s="24">
        <f>D39+D40+D41+D49+D51+D57+D58+D56</f>
        <v>38684</v>
      </c>
      <c r="E38" s="13" t="str">
        <f t="shared" si="0"/>
        <v>-</v>
      </c>
      <c r="F38" s="99">
        <f t="shared" si="1"/>
        <v>1</v>
      </c>
    </row>
    <row r="39" spans="1:6" ht="28.5" customHeight="1">
      <c r="A39" s="31" t="s">
        <v>17</v>
      </c>
      <c r="B39" s="40" t="s">
        <v>18</v>
      </c>
      <c r="C39" s="81">
        <v>1732</v>
      </c>
      <c r="D39" s="85">
        <f>C39</f>
        <v>1732</v>
      </c>
      <c r="E39" s="96" t="str">
        <f t="shared" si="0"/>
        <v>-</v>
      </c>
      <c r="F39" s="97">
        <f t="shared" si="1"/>
        <v>1</v>
      </c>
    </row>
    <row r="40" spans="1:6" ht="28.5" customHeight="1">
      <c r="A40" s="31" t="s">
        <v>19</v>
      </c>
      <c r="B40" s="40" t="s">
        <v>20</v>
      </c>
      <c r="C40" s="81">
        <v>4111</v>
      </c>
      <c r="D40" s="85">
        <f>C40</f>
        <v>4111</v>
      </c>
      <c r="E40" s="96" t="str">
        <f t="shared" si="0"/>
        <v>-</v>
      </c>
      <c r="F40" s="97">
        <f t="shared" si="1"/>
        <v>1</v>
      </c>
    </row>
    <row r="41" spans="1:6" ht="28.5" customHeight="1">
      <c r="A41" s="31" t="s">
        <v>21</v>
      </c>
      <c r="B41" s="41" t="s">
        <v>251</v>
      </c>
      <c r="C41" s="85">
        <f>C42+C44+C45+C46+C47+C48</f>
        <v>645</v>
      </c>
      <c r="D41" s="85">
        <f>D42+D44+D45+D46+D47+D48</f>
        <v>645</v>
      </c>
      <c r="E41" s="96" t="str">
        <f t="shared" si="0"/>
        <v>-</v>
      </c>
      <c r="F41" s="97">
        <f t="shared" si="1"/>
        <v>1</v>
      </c>
    </row>
    <row r="42" spans="1:6" ht="28.5" customHeight="1">
      <c r="A42" s="42" t="s">
        <v>39</v>
      </c>
      <c r="B42" s="43" t="s">
        <v>32</v>
      </c>
      <c r="C42" s="81">
        <v>91</v>
      </c>
      <c r="D42" s="85">
        <f>C42</f>
        <v>91</v>
      </c>
      <c r="E42" s="96" t="str">
        <f t="shared" si="0"/>
        <v>-</v>
      </c>
      <c r="F42" s="97">
        <f t="shared" si="1"/>
        <v>1</v>
      </c>
    </row>
    <row r="43" spans="1:6" ht="28.5" customHeight="1">
      <c r="A43" s="42" t="s">
        <v>40</v>
      </c>
      <c r="B43" s="44" t="s">
        <v>33</v>
      </c>
      <c r="C43" s="81">
        <v>67</v>
      </c>
      <c r="D43" s="85">
        <f aca="true" t="shared" si="3" ref="D43:D55">C43</f>
        <v>67</v>
      </c>
      <c r="E43" s="96" t="str">
        <f t="shared" si="0"/>
        <v>-</v>
      </c>
      <c r="F43" s="97">
        <f t="shared" si="1"/>
        <v>1</v>
      </c>
    </row>
    <row r="44" spans="1:6" ht="28.5" customHeight="1">
      <c r="A44" s="42" t="s">
        <v>41</v>
      </c>
      <c r="B44" s="43" t="s">
        <v>34</v>
      </c>
      <c r="C44" s="81">
        <v>68</v>
      </c>
      <c r="D44" s="85">
        <f t="shared" si="3"/>
        <v>68</v>
      </c>
      <c r="E44" s="96" t="str">
        <f t="shared" si="0"/>
        <v>-</v>
      </c>
      <c r="F44" s="97">
        <f t="shared" si="1"/>
        <v>1</v>
      </c>
    </row>
    <row r="45" spans="1:6" ht="28.5" customHeight="1">
      <c r="A45" s="42" t="s">
        <v>42</v>
      </c>
      <c r="B45" s="43" t="s">
        <v>35</v>
      </c>
      <c r="C45" s="81">
        <v>1</v>
      </c>
      <c r="D45" s="85">
        <f t="shared" si="3"/>
        <v>1</v>
      </c>
      <c r="E45" s="96" t="str">
        <f t="shared" si="0"/>
        <v>-</v>
      </c>
      <c r="F45" s="97">
        <f t="shared" si="1"/>
        <v>1</v>
      </c>
    </row>
    <row r="46" spans="1:6" ht="28.5" customHeight="1">
      <c r="A46" s="42" t="s">
        <v>43</v>
      </c>
      <c r="B46" s="43" t="s">
        <v>36</v>
      </c>
      <c r="C46" s="81">
        <v>0</v>
      </c>
      <c r="D46" s="85">
        <f t="shared" si="3"/>
        <v>0</v>
      </c>
      <c r="E46" s="96" t="str">
        <f t="shared" si="0"/>
        <v>-</v>
      </c>
      <c r="F46" s="97" t="str">
        <f t="shared" si="1"/>
        <v>-</v>
      </c>
    </row>
    <row r="47" spans="1:6" ht="28.5" customHeight="1">
      <c r="A47" s="42" t="s">
        <v>44</v>
      </c>
      <c r="B47" s="43" t="s">
        <v>37</v>
      </c>
      <c r="C47" s="81">
        <v>484</v>
      </c>
      <c r="D47" s="85">
        <f t="shared" si="3"/>
        <v>484</v>
      </c>
      <c r="E47" s="96" t="str">
        <f t="shared" si="0"/>
        <v>-</v>
      </c>
      <c r="F47" s="97">
        <f t="shared" si="1"/>
        <v>1</v>
      </c>
    </row>
    <row r="48" spans="1:6" ht="28.5" customHeight="1">
      <c r="A48" s="42" t="s">
        <v>45</v>
      </c>
      <c r="B48" s="43" t="s">
        <v>38</v>
      </c>
      <c r="C48" s="81">
        <v>1</v>
      </c>
      <c r="D48" s="85">
        <f>C48</f>
        <v>1</v>
      </c>
      <c r="E48" s="96" t="str">
        <f t="shared" si="0"/>
        <v>-</v>
      </c>
      <c r="F48" s="97">
        <f t="shared" si="1"/>
        <v>1</v>
      </c>
    </row>
    <row r="49" spans="1:6" ht="28.5" customHeight="1">
      <c r="A49" s="31" t="s">
        <v>22</v>
      </c>
      <c r="B49" s="40" t="s">
        <v>178</v>
      </c>
      <c r="C49" s="81">
        <v>20213</v>
      </c>
      <c r="D49" s="85">
        <f>C49</f>
        <v>20213</v>
      </c>
      <c r="E49" s="96" t="str">
        <f t="shared" si="0"/>
        <v>-</v>
      </c>
      <c r="F49" s="97">
        <f t="shared" si="1"/>
        <v>1</v>
      </c>
    </row>
    <row r="50" spans="1:6" ht="28.5" customHeight="1">
      <c r="A50" s="42" t="s">
        <v>179</v>
      </c>
      <c r="B50" s="43" t="s">
        <v>180</v>
      </c>
      <c r="C50" s="81">
        <v>120</v>
      </c>
      <c r="D50" s="85">
        <f>C50</f>
        <v>120</v>
      </c>
      <c r="E50" s="96" t="str">
        <f t="shared" si="0"/>
        <v>-</v>
      </c>
      <c r="F50" s="97">
        <f t="shared" si="1"/>
        <v>1</v>
      </c>
    </row>
    <row r="51" spans="1:6" ht="28.5" customHeight="1">
      <c r="A51" s="31" t="s">
        <v>23</v>
      </c>
      <c r="B51" s="41" t="s">
        <v>252</v>
      </c>
      <c r="C51" s="77">
        <f>C52+C53+C54+C55</f>
        <v>4482</v>
      </c>
      <c r="D51" s="77">
        <f>D52+D53+D54+D55</f>
        <v>4482</v>
      </c>
      <c r="E51" s="96" t="str">
        <f t="shared" si="0"/>
        <v>-</v>
      </c>
      <c r="F51" s="97">
        <f t="shared" si="1"/>
        <v>1</v>
      </c>
    </row>
    <row r="52" spans="1:6" ht="28.5" customHeight="1">
      <c r="A52" s="42" t="s">
        <v>50</v>
      </c>
      <c r="B52" s="43" t="s">
        <v>46</v>
      </c>
      <c r="C52" s="81">
        <v>3345</v>
      </c>
      <c r="D52" s="85">
        <f t="shared" si="3"/>
        <v>3345</v>
      </c>
      <c r="E52" s="96" t="str">
        <f t="shared" si="0"/>
        <v>-</v>
      </c>
      <c r="F52" s="97">
        <f t="shared" si="1"/>
        <v>1</v>
      </c>
    </row>
    <row r="53" spans="1:6" ht="28.5" customHeight="1">
      <c r="A53" s="42" t="s">
        <v>51</v>
      </c>
      <c r="B53" s="43" t="s">
        <v>47</v>
      </c>
      <c r="C53" s="81">
        <v>495</v>
      </c>
      <c r="D53" s="85">
        <f t="shared" si="3"/>
        <v>495</v>
      </c>
      <c r="E53" s="96" t="str">
        <f t="shared" si="0"/>
        <v>-</v>
      </c>
      <c r="F53" s="97">
        <f t="shared" si="1"/>
        <v>1</v>
      </c>
    </row>
    <row r="54" spans="1:6" ht="28.5" customHeight="1">
      <c r="A54" s="42" t="s">
        <v>52</v>
      </c>
      <c r="B54" s="43" t="s">
        <v>48</v>
      </c>
      <c r="C54" s="81">
        <v>0</v>
      </c>
      <c r="D54" s="85">
        <f t="shared" si="3"/>
        <v>0</v>
      </c>
      <c r="E54" s="96" t="str">
        <f t="shared" si="0"/>
        <v>-</v>
      </c>
      <c r="F54" s="97" t="str">
        <f t="shared" si="1"/>
        <v>-</v>
      </c>
    </row>
    <row r="55" spans="1:6" ht="28.5" customHeight="1">
      <c r="A55" s="42" t="s">
        <v>53</v>
      </c>
      <c r="B55" s="43" t="s">
        <v>49</v>
      </c>
      <c r="C55" s="81">
        <v>642</v>
      </c>
      <c r="D55" s="85">
        <f t="shared" si="3"/>
        <v>642</v>
      </c>
      <c r="E55" s="96" t="str">
        <f t="shared" si="0"/>
        <v>-</v>
      </c>
      <c r="F55" s="97">
        <f t="shared" si="1"/>
        <v>1</v>
      </c>
    </row>
    <row r="56" spans="1:6" ht="28.5" customHeight="1">
      <c r="A56" s="31" t="s">
        <v>24</v>
      </c>
      <c r="B56" s="40" t="s">
        <v>25</v>
      </c>
      <c r="C56" s="81">
        <v>0</v>
      </c>
      <c r="D56" s="85">
        <f>C56</f>
        <v>0</v>
      </c>
      <c r="E56" s="96" t="str">
        <f t="shared" si="0"/>
        <v>-</v>
      </c>
      <c r="F56" s="97" t="str">
        <f t="shared" si="1"/>
        <v>-</v>
      </c>
    </row>
    <row r="57" spans="1:6" ht="28.5" customHeight="1">
      <c r="A57" s="31" t="s">
        <v>26</v>
      </c>
      <c r="B57" s="40" t="s">
        <v>181</v>
      </c>
      <c r="C57" s="81">
        <v>7170</v>
      </c>
      <c r="D57" s="85">
        <f>C57</f>
        <v>7170</v>
      </c>
      <c r="E57" s="96" t="str">
        <f t="shared" si="0"/>
        <v>-</v>
      </c>
      <c r="F57" s="100">
        <f t="shared" si="1"/>
        <v>1</v>
      </c>
    </row>
    <row r="58" spans="1:6" ht="28.5" customHeight="1">
      <c r="A58" s="31" t="s">
        <v>27</v>
      </c>
      <c r="B58" s="40" t="s">
        <v>28</v>
      </c>
      <c r="C58" s="81">
        <v>331</v>
      </c>
      <c r="D58" s="85">
        <f>C58</f>
        <v>331</v>
      </c>
      <c r="E58" s="96" t="str">
        <f t="shared" si="0"/>
        <v>-</v>
      </c>
      <c r="F58" s="97">
        <f t="shared" si="1"/>
        <v>1</v>
      </c>
    </row>
    <row r="59" spans="1:6" s="3" customFormat="1" ht="30" customHeight="1">
      <c r="A59" s="33" t="s">
        <v>29</v>
      </c>
      <c r="B59" s="45" t="s">
        <v>182</v>
      </c>
      <c r="C59" s="27">
        <f>C60+C61+C62+C63</f>
        <v>14731</v>
      </c>
      <c r="D59" s="27">
        <f>D60+D61+D62+D63</f>
        <v>11822</v>
      </c>
      <c r="E59" s="13">
        <f t="shared" si="0"/>
        <v>-2909</v>
      </c>
      <c r="F59" s="101">
        <f t="shared" si="1"/>
        <v>0.8025</v>
      </c>
    </row>
    <row r="60" spans="1:6" ht="42" customHeight="1">
      <c r="A60" s="31" t="s">
        <v>102</v>
      </c>
      <c r="B60" s="40" t="s">
        <v>124</v>
      </c>
      <c r="C60" s="81">
        <v>20</v>
      </c>
      <c r="D60" s="85">
        <f>C60</f>
        <v>20</v>
      </c>
      <c r="E60" s="77" t="str">
        <f t="shared" si="0"/>
        <v>-</v>
      </c>
      <c r="F60" s="97">
        <f t="shared" si="1"/>
        <v>1</v>
      </c>
    </row>
    <row r="61" spans="1:6" ht="31.5" customHeight="1">
      <c r="A61" s="31" t="s">
        <v>30</v>
      </c>
      <c r="B61" s="40" t="s">
        <v>56</v>
      </c>
      <c r="C61" s="81">
        <v>13711</v>
      </c>
      <c r="D61" s="85">
        <f>C61-7908</f>
        <v>5803</v>
      </c>
      <c r="E61" s="77">
        <f t="shared" si="0"/>
        <v>-7908</v>
      </c>
      <c r="F61" s="97">
        <f t="shared" si="1"/>
        <v>0.4232</v>
      </c>
    </row>
    <row r="62" spans="1:6" ht="31.5" customHeight="1">
      <c r="A62" s="31" t="s">
        <v>31</v>
      </c>
      <c r="B62" s="40" t="s">
        <v>104</v>
      </c>
      <c r="C62" s="81">
        <v>0</v>
      </c>
      <c r="D62" s="85">
        <f>C62</f>
        <v>0</v>
      </c>
      <c r="E62" s="77" t="str">
        <f t="shared" si="0"/>
        <v>-</v>
      </c>
      <c r="F62" s="97" t="str">
        <f t="shared" si="1"/>
        <v>-</v>
      </c>
    </row>
    <row r="63" spans="1:6" ht="31.5" customHeight="1">
      <c r="A63" s="31" t="s">
        <v>103</v>
      </c>
      <c r="B63" s="40" t="s">
        <v>105</v>
      </c>
      <c r="C63" s="81">
        <v>1000</v>
      </c>
      <c r="D63" s="85">
        <f>C63+4999</f>
        <v>5999</v>
      </c>
      <c r="E63" s="77">
        <f t="shared" si="0"/>
        <v>4999</v>
      </c>
      <c r="F63" s="97">
        <f t="shared" si="1"/>
        <v>5.999</v>
      </c>
    </row>
    <row r="64" spans="1:6" ht="32.25" customHeight="1">
      <c r="A64" s="33" t="s">
        <v>110</v>
      </c>
      <c r="B64" s="45" t="s">
        <v>129</v>
      </c>
      <c r="C64" s="27">
        <v>1981</v>
      </c>
      <c r="D64" s="27">
        <f>C64+1311</f>
        <v>3292</v>
      </c>
      <c r="E64" s="13">
        <f t="shared" si="0"/>
        <v>1311</v>
      </c>
      <c r="F64" s="101">
        <f t="shared" si="1"/>
        <v>1.6618</v>
      </c>
    </row>
  </sheetData>
  <sheetProtection formatCells="0" formatColumns="0" formatRows="0" insertColumns="0" insertRows="0" insertHyperlinks="0" deleteColumns="0" deleteRows="0"/>
  <mergeCells count="7">
    <mergeCell ref="F4:F5"/>
    <mergeCell ref="A1:F1"/>
    <mergeCell ref="C4:C5"/>
    <mergeCell ref="A4:A5"/>
    <mergeCell ref="B4:B5"/>
    <mergeCell ref="D4:D5"/>
    <mergeCell ref="E4:E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8" r:id="rId1"/>
  <headerFooter alignWithMargins="0">
    <oddFooter>&amp;R&amp;20&amp;P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showGridLines="0" view="pageBreakPreview" zoomScale="55" zoomScaleNormal="70" zoomScaleSheetLayoutView="55" zoomScalePageLayoutView="0" workbookViewId="0" topLeftCell="A1">
      <pane xSplit="2" ySplit="7" topLeftCell="C44" activePane="bottomRight" state="frozen"/>
      <selection pane="topLeft" activeCell="G1" sqref="G1:S65536"/>
      <selection pane="topRight" activeCell="G1" sqref="G1:S65536"/>
      <selection pane="bottomLeft" activeCell="G1" sqref="G1:S65536"/>
      <selection pane="bottomRight" activeCell="G1" sqref="G1:S65536"/>
    </sheetView>
  </sheetViews>
  <sheetFormatPr defaultColWidth="9.00390625" defaultRowHeight="12.75"/>
  <cols>
    <col min="1" max="1" width="9.125" style="2" customWidth="1"/>
    <col min="2" max="2" width="125.875" style="2" customWidth="1"/>
    <col min="3" max="3" width="25.75390625" style="2" customWidth="1"/>
    <col min="4" max="4" width="26.875" style="2" customWidth="1"/>
    <col min="5" max="5" width="25.125" style="2" customWidth="1"/>
    <col min="6" max="6" width="20.75390625" style="2" customWidth="1"/>
    <col min="7" max="16384" width="9.125" style="2" customWidth="1"/>
  </cols>
  <sheetData>
    <row r="1" spans="1:6" s="48" customFormat="1" ht="38.25" customHeight="1">
      <c r="A1" s="152" t="str">
        <f>NFZ!A1</f>
        <v>ZMIANA PLANU NARODOWEGO FUNDUSZU ZDROWIA NA 2014 R. Z DNIA 30 GRUDNIA 2014 R.</v>
      </c>
      <c r="B1" s="152"/>
      <c r="C1" s="152"/>
      <c r="D1" s="152"/>
      <c r="E1" s="152"/>
      <c r="F1" s="152"/>
    </row>
    <row r="2" spans="1:3" s="50" customFormat="1" ht="33" customHeight="1">
      <c r="A2" s="88" t="s">
        <v>63</v>
      </c>
      <c r="B2" s="88"/>
      <c r="C2" s="94"/>
    </row>
    <row r="3" spans="1:6" ht="33" customHeight="1">
      <c r="A3" s="8"/>
      <c r="B3" s="9"/>
      <c r="C3" s="87"/>
      <c r="D3" s="87"/>
      <c r="E3" s="87" t="s">
        <v>159</v>
      </c>
      <c r="F3" s="10"/>
    </row>
    <row r="4" spans="1:6" s="6" customFormat="1" ht="45" customHeight="1">
      <c r="A4" s="149" t="s">
        <v>132</v>
      </c>
      <c r="B4" s="149" t="s">
        <v>55</v>
      </c>
      <c r="C4" s="150" t="s">
        <v>236</v>
      </c>
      <c r="D4" s="150" t="s">
        <v>191</v>
      </c>
      <c r="E4" s="153" t="s">
        <v>192</v>
      </c>
      <c r="F4" s="153" t="s">
        <v>193</v>
      </c>
    </row>
    <row r="5" spans="1:6" s="6" customFormat="1" ht="45" customHeight="1">
      <c r="A5" s="149"/>
      <c r="B5" s="149"/>
      <c r="C5" s="151"/>
      <c r="D5" s="151"/>
      <c r="E5" s="153"/>
      <c r="F5" s="153"/>
    </row>
    <row r="6" spans="1:6" s="4" customFormat="1" ht="14.25">
      <c r="A6" s="47">
        <v>1</v>
      </c>
      <c r="B6" s="52">
        <v>2</v>
      </c>
      <c r="C6" s="47">
        <v>3</v>
      </c>
      <c r="D6" s="52">
        <v>4</v>
      </c>
      <c r="E6" s="47">
        <v>5</v>
      </c>
      <c r="F6" s="52">
        <v>6</v>
      </c>
    </row>
    <row r="7" spans="1:6" s="3" customFormat="1" ht="30" customHeight="1">
      <c r="A7" s="23" t="s">
        <v>0</v>
      </c>
      <c r="B7" s="39" t="s">
        <v>248</v>
      </c>
      <c r="C7" s="16">
        <f>C8+C9+C10+C15+C16+C17+C18+C19+C20+C21+C22+C23+C24+C25+C29+C30+C32+C33</f>
        <v>3467588</v>
      </c>
      <c r="D7" s="16">
        <f>D8+D9+D10+D15+D16+D17+D18+D19+D20+D21+D22+D23+D24+D25+D29+D30+D32+D33</f>
        <v>3471200</v>
      </c>
      <c r="E7" s="13">
        <f>IF(C7=D7,"-",D7-C7)</f>
        <v>3612</v>
      </c>
      <c r="F7" s="95">
        <f>IF(C7=0,"-",D7/C7)</f>
        <v>1.001</v>
      </c>
    </row>
    <row r="8" spans="1:6" ht="33" customHeight="1">
      <c r="A8" s="29" t="s">
        <v>1</v>
      </c>
      <c r="B8" s="35" t="s">
        <v>133</v>
      </c>
      <c r="C8" s="81">
        <v>422358</v>
      </c>
      <c r="D8" s="25">
        <f>C8</f>
        <v>422358</v>
      </c>
      <c r="E8" s="96" t="str">
        <f aca="true" t="shared" si="0" ref="E8:E64">IF(C8=D8,"-",D8-C8)</f>
        <v>-</v>
      </c>
      <c r="F8" s="97">
        <f aca="true" t="shared" si="1" ref="F8:F64">IF(C8=0,"-",D8/C8)</f>
        <v>1</v>
      </c>
    </row>
    <row r="9" spans="1:6" ht="33" customHeight="1">
      <c r="A9" s="29" t="s">
        <v>2</v>
      </c>
      <c r="B9" s="35" t="s">
        <v>134</v>
      </c>
      <c r="C9" s="81">
        <v>279950</v>
      </c>
      <c r="D9" s="25">
        <f aca="true" t="shared" si="2" ref="D9:D34">C9</f>
        <v>279950</v>
      </c>
      <c r="E9" s="96" t="str">
        <f t="shared" si="0"/>
        <v>-</v>
      </c>
      <c r="F9" s="97">
        <f t="shared" si="1"/>
        <v>1</v>
      </c>
    </row>
    <row r="10" spans="1:6" ht="33" customHeight="1">
      <c r="A10" s="29" t="s">
        <v>3</v>
      </c>
      <c r="B10" s="35" t="s">
        <v>131</v>
      </c>
      <c r="C10" s="81">
        <v>1741617</v>
      </c>
      <c r="D10" s="25">
        <f>C10+3612</f>
        <v>1745229</v>
      </c>
      <c r="E10" s="96">
        <f t="shared" si="0"/>
        <v>3612</v>
      </c>
      <c r="F10" s="97">
        <f t="shared" si="1"/>
        <v>1.0021</v>
      </c>
    </row>
    <row r="11" spans="1:6" ht="31.5" customHeight="1">
      <c r="A11" s="28" t="s">
        <v>57</v>
      </c>
      <c r="B11" s="34" t="s">
        <v>160</v>
      </c>
      <c r="C11" s="81">
        <v>149322</v>
      </c>
      <c r="D11" s="25">
        <f t="shared" si="2"/>
        <v>149322</v>
      </c>
      <c r="E11" s="96" t="str">
        <f t="shared" si="0"/>
        <v>-</v>
      </c>
      <c r="F11" s="97">
        <f t="shared" si="1"/>
        <v>1</v>
      </c>
    </row>
    <row r="12" spans="1:6" ht="31.5" customHeight="1">
      <c r="A12" s="28" t="s">
        <v>161</v>
      </c>
      <c r="B12" s="34" t="s">
        <v>164</v>
      </c>
      <c r="C12" s="81">
        <v>136709</v>
      </c>
      <c r="D12" s="25">
        <f t="shared" si="2"/>
        <v>136709</v>
      </c>
      <c r="E12" s="96" t="str">
        <f t="shared" si="0"/>
        <v>-</v>
      </c>
      <c r="F12" s="97">
        <f t="shared" si="1"/>
        <v>1</v>
      </c>
    </row>
    <row r="13" spans="1:6" ht="31.5" customHeight="1">
      <c r="A13" s="28" t="s">
        <v>162</v>
      </c>
      <c r="B13" s="34" t="s">
        <v>165</v>
      </c>
      <c r="C13" s="81">
        <v>77303</v>
      </c>
      <c r="D13" s="25">
        <f t="shared" si="2"/>
        <v>77303</v>
      </c>
      <c r="E13" s="96" t="str">
        <f t="shared" si="0"/>
        <v>-</v>
      </c>
      <c r="F13" s="97">
        <f t="shared" si="1"/>
        <v>1</v>
      </c>
    </row>
    <row r="14" spans="1:6" ht="31.5" customHeight="1">
      <c r="A14" s="28" t="s">
        <v>163</v>
      </c>
      <c r="B14" s="34" t="s">
        <v>166</v>
      </c>
      <c r="C14" s="81">
        <v>37194</v>
      </c>
      <c r="D14" s="25">
        <f t="shared" si="2"/>
        <v>37194</v>
      </c>
      <c r="E14" s="96" t="str">
        <f t="shared" si="0"/>
        <v>-</v>
      </c>
      <c r="F14" s="97">
        <f t="shared" si="1"/>
        <v>1</v>
      </c>
    </row>
    <row r="15" spans="1:6" ht="33" customHeight="1">
      <c r="A15" s="29" t="s">
        <v>4</v>
      </c>
      <c r="B15" s="35" t="s">
        <v>139</v>
      </c>
      <c r="C15" s="81">
        <v>116758</v>
      </c>
      <c r="D15" s="25">
        <f t="shared" si="2"/>
        <v>116758</v>
      </c>
      <c r="E15" s="96" t="str">
        <f t="shared" si="0"/>
        <v>-</v>
      </c>
      <c r="F15" s="97">
        <f t="shared" si="1"/>
        <v>1</v>
      </c>
    </row>
    <row r="16" spans="1:6" ht="33" customHeight="1">
      <c r="A16" s="29" t="s">
        <v>5</v>
      </c>
      <c r="B16" s="35" t="s">
        <v>135</v>
      </c>
      <c r="C16" s="81">
        <v>87616</v>
      </c>
      <c r="D16" s="25">
        <f t="shared" si="2"/>
        <v>87616</v>
      </c>
      <c r="E16" s="96" t="str">
        <f t="shared" si="0"/>
        <v>-</v>
      </c>
      <c r="F16" s="97">
        <f t="shared" si="1"/>
        <v>1</v>
      </c>
    </row>
    <row r="17" spans="1:6" ht="33" customHeight="1">
      <c r="A17" s="29" t="s">
        <v>6</v>
      </c>
      <c r="B17" s="35" t="s">
        <v>141</v>
      </c>
      <c r="C17" s="81">
        <v>47625</v>
      </c>
      <c r="D17" s="25">
        <f t="shared" si="2"/>
        <v>47625</v>
      </c>
      <c r="E17" s="96" t="str">
        <f t="shared" si="0"/>
        <v>-</v>
      </c>
      <c r="F17" s="97">
        <f t="shared" si="1"/>
        <v>1</v>
      </c>
    </row>
    <row r="18" spans="1:6" ht="33" customHeight="1">
      <c r="A18" s="29" t="s">
        <v>7</v>
      </c>
      <c r="B18" s="35" t="s">
        <v>140</v>
      </c>
      <c r="C18" s="81">
        <v>26738</v>
      </c>
      <c r="D18" s="25">
        <f t="shared" si="2"/>
        <v>26738</v>
      </c>
      <c r="E18" s="96" t="str">
        <f t="shared" si="0"/>
        <v>-</v>
      </c>
      <c r="F18" s="97">
        <f t="shared" si="1"/>
        <v>1</v>
      </c>
    </row>
    <row r="19" spans="1:6" ht="33" customHeight="1">
      <c r="A19" s="29" t="s">
        <v>8</v>
      </c>
      <c r="B19" s="35" t="s">
        <v>136</v>
      </c>
      <c r="C19" s="81">
        <v>92665</v>
      </c>
      <c r="D19" s="25">
        <f t="shared" si="2"/>
        <v>92665</v>
      </c>
      <c r="E19" s="96" t="str">
        <f t="shared" si="0"/>
        <v>-</v>
      </c>
      <c r="F19" s="97">
        <f t="shared" si="1"/>
        <v>1</v>
      </c>
    </row>
    <row r="20" spans="1:6" ht="33" customHeight="1">
      <c r="A20" s="29" t="s">
        <v>9</v>
      </c>
      <c r="B20" s="35" t="s">
        <v>137</v>
      </c>
      <c r="C20" s="81">
        <v>32167</v>
      </c>
      <c r="D20" s="25">
        <f t="shared" si="2"/>
        <v>32167</v>
      </c>
      <c r="E20" s="96" t="str">
        <f t="shared" si="0"/>
        <v>-</v>
      </c>
      <c r="F20" s="97">
        <f t="shared" si="1"/>
        <v>1</v>
      </c>
    </row>
    <row r="21" spans="1:6" ht="33" customHeight="1">
      <c r="A21" s="29" t="s">
        <v>10</v>
      </c>
      <c r="B21" s="35" t="s">
        <v>142</v>
      </c>
      <c r="C21" s="81">
        <v>2593</v>
      </c>
      <c r="D21" s="25">
        <f t="shared" si="2"/>
        <v>2593</v>
      </c>
      <c r="E21" s="96" t="str">
        <f t="shared" si="0"/>
        <v>-</v>
      </c>
      <c r="F21" s="97">
        <f t="shared" si="1"/>
        <v>1</v>
      </c>
    </row>
    <row r="22" spans="1:6" ht="46.5" customHeight="1">
      <c r="A22" s="29" t="s">
        <v>11</v>
      </c>
      <c r="B22" s="35" t="s">
        <v>138</v>
      </c>
      <c r="C22" s="81">
        <v>11753</v>
      </c>
      <c r="D22" s="25">
        <f t="shared" si="2"/>
        <v>11753</v>
      </c>
      <c r="E22" s="96" t="str">
        <f t="shared" si="0"/>
        <v>-</v>
      </c>
      <c r="F22" s="97">
        <f t="shared" si="1"/>
        <v>1</v>
      </c>
    </row>
    <row r="23" spans="1:6" ht="33" customHeight="1">
      <c r="A23" s="29" t="s">
        <v>12</v>
      </c>
      <c r="B23" s="35" t="s">
        <v>185</v>
      </c>
      <c r="C23" s="81">
        <v>106204</v>
      </c>
      <c r="D23" s="25">
        <f t="shared" si="2"/>
        <v>106204</v>
      </c>
      <c r="E23" s="96" t="str">
        <f t="shared" si="0"/>
        <v>-</v>
      </c>
      <c r="F23" s="97">
        <f t="shared" si="1"/>
        <v>1</v>
      </c>
    </row>
    <row r="24" spans="1:6" ht="33" customHeight="1">
      <c r="A24" s="29" t="s">
        <v>13</v>
      </c>
      <c r="B24" s="35" t="s">
        <v>167</v>
      </c>
      <c r="C24" s="81">
        <v>42500</v>
      </c>
      <c r="D24" s="25">
        <f t="shared" si="2"/>
        <v>42500</v>
      </c>
      <c r="E24" s="96" t="str">
        <f t="shared" si="0"/>
        <v>-</v>
      </c>
      <c r="F24" s="97">
        <f t="shared" si="1"/>
        <v>1</v>
      </c>
    </row>
    <row r="25" spans="1:6" ht="33" customHeight="1">
      <c r="A25" s="30" t="s">
        <v>14</v>
      </c>
      <c r="B25" s="78" t="s">
        <v>249</v>
      </c>
      <c r="C25" s="81">
        <f>SUM(C26:C28)</f>
        <v>451708</v>
      </c>
      <c r="D25" s="81">
        <f>SUM(D26:D28)</f>
        <v>451708</v>
      </c>
      <c r="E25" s="96" t="str">
        <f t="shared" si="0"/>
        <v>-</v>
      </c>
      <c r="F25" s="97">
        <f t="shared" si="1"/>
        <v>1</v>
      </c>
    </row>
    <row r="26" spans="1:6" ht="31.5">
      <c r="A26" s="28" t="s">
        <v>143</v>
      </c>
      <c r="B26" s="34" t="s">
        <v>170</v>
      </c>
      <c r="C26" s="81">
        <v>450895</v>
      </c>
      <c r="D26" s="25">
        <f t="shared" si="2"/>
        <v>450895</v>
      </c>
      <c r="E26" s="96" t="str">
        <f t="shared" si="0"/>
        <v>-</v>
      </c>
      <c r="F26" s="97">
        <f t="shared" si="1"/>
        <v>1</v>
      </c>
    </row>
    <row r="27" spans="1:6" ht="31.5" customHeight="1">
      <c r="A27" s="28" t="s">
        <v>169</v>
      </c>
      <c r="B27" s="34" t="s">
        <v>172</v>
      </c>
      <c r="C27" s="81">
        <v>550</v>
      </c>
      <c r="D27" s="25">
        <f t="shared" si="2"/>
        <v>550</v>
      </c>
      <c r="E27" s="96" t="str">
        <f t="shared" si="0"/>
        <v>-</v>
      </c>
      <c r="F27" s="97">
        <f t="shared" si="1"/>
        <v>1</v>
      </c>
    </row>
    <row r="28" spans="1:6" ht="31.5" customHeight="1">
      <c r="A28" s="28" t="s">
        <v>173</v>
      </c>
      <c r="B28" s="34" t="s">
        <v>171</v>
      </c>
      <c r="C28" s="81">
        <v>263</v>
      </c>
      <c r="D28" s="25">
        <f t="shared" si="2"/>
        <v>263</v>
      </c>
      <c r="E28" s="96" t="str">
        <f t="shared" si="0"/>
        <v>-</v>
      </c>
      <c r="F28" s="97">
        <f t="shared" si="1"/>
        <v>1</v>
      </c>
    </row>
    <row r="29" spans="1:6" ht="33" customHeight="1">
      <c r="A29" s="31" t="s">
        <v>15</v>
      </c>
      <c r="B29" s="36" t="s">
        <v>122</v>
      </c>
      <c r="C29" s="81">
        <v>0</v>
      </c>
      <c r="D29" s="25">
        <f t="shared" si="2"/>
        <v>0</v>
      </c>
      <c r="E29" s="96" t="str">
        <f t="shared" si="0"/>
        <v>-</v>
      </c>
      <c r="F29" s="97" t="str">
        <f t="shared" si="1"/>
        <v>-</v>
      </c>
    </row>
    <row r="30" spans="1:6" ht="33" customHeight="1">
      <c r="A30" s="31" t="s">
        <v>119</v>
      </c>
      <c r="B30" s="37" t="s">
        <v>174</v>
      </c>
      <c r="C30" s="81">
        <v>0</v>
      </c>
      <c r="D30" s="25">
        <f t="shared" si="2"/>
        <v>0</v>
      </c>
      <c r="E30" s="96" t="str">
        <f t="shared" si="0"/>
        <v>-</v>
      </c>
      <c r="F30" s="97" t="str">
        <f t="shared" si="1"/>
        <v>-</v>
      </c>
    </row>
    <row r="31" spans="1:6" ht="31.5" customHeight="1">
      <c r="A31" s="28" t="s">
        <v>175</v>
      </c>
      <c r="B31" s="34" t="s">
        <v>187</v>
      </c>
      <c r="C31" s="81">
        <v>0</v>
      </c>
      <c r="D31" s="25">
        <f t="shared" si="2"/>
        <v>0</v>
      </c>
      <c r="E31" s="96" t="str">
        <f t="shared" si="0"/>
        <v>-</v>
      </c>
      <c r="F31" s="97" t="str">
        <f t="shared" si="1"/>
        <v>-</v>
      </c>
    </row>
    <row r="32" spans="1:6" ht="33" customHeight="1">
      <c r="A32" s="31" t="s">
        <v>120</v>
      </c>
      <c r="B32" s="37" t="s">
        <v>123</v>
      </c>
      <c r="C32" s="81">
        <v>0</v>
      </c>
      <c r="D32" s="25">
        <f t="shared" si="2"/>
        <v>0</v>
      </c>
      <c r="E32" s="96" t="str">
        <f t="shared" si="0"/>
        <v>-</v>
      </c>
      <c r="F32" s="97" t="str">
        <f t="shared" si="1"/>
        <v>-</v>
      </c>
    </row>
    <row r="33" spans="1:6" ht="33" customHeight="1">
      <c r="A33" s="31" t="s">
        <v>121</v>
      </c>
      <c r="B33" s="37" t="s">
        <v>186</v>
      </c>
      <c r="C33" s="81">
        <v>5336</v>
      </c>
      <c r="D33" s="25">
        <f t="shared" si="2"/>
        <v>5336</v>
      </c>
      <c r="E33" s="96" t="str">
        <f t="shared" si="0"/>
        <v>-</v>
      </c>
      <c r="F33" s="97">
        <f t="shared" si="1"/>
        <v>1</v>
      </c>
    </row>
    <row r="34" spans="1:6" ht="51.75" customHeight="1">
      <c r="A34" s="31" t="s">
        <v>246</v>
      </c>
      <c r="B34" s="37" t="s">
        <v>247</v>
      </c>
      <c r="C34" s="81">
        <v>0</v>
      </c>
      <c r="D34" s="25">
        <f t="shared" si="2"/>
        <v>0</v>
      </c>
      <c r="E34" s="96" t="str">
        <f>IF(C34=D34,"-",D34-C34)</f>
        <v>-</v>
      </c>
      <c r="F34" s="97" t="str">
        <f>IF(C34=0,"-",D34/C34)</f>
        <v>-</v>
      </c>
    </row>
    <row r="35" spans="1:6" s="5" customFormat="1" ht="31.5" customHeight="1">
      <c r="A35" s="32" t="s">
        <v>59</v>
      </c>
      <c r="B35" s="38" t="s">
        <v>60</v>
      </c>
      <c r="C35" s="84">
        <v>0</v>
      </c>
      <c r="D35" s="92">
        <f>C35</f>
        <v>0</v>
      </c>
      <c r="E35" s="15" t="str">
        <f t="shared" si="0"/>
        <v>-</v>
      </c>
      <c r="F35" s="98" t="str">
        <f t="shared" si="1"/>
        <v>-</v>
      </c>
    </row>
    <row r="36" spans="1:6" s="5" customFormat="1" ht="31.5" customHeight="1">
      <c r="A36" s="32" t="s">
        <v>58</v>
      </c>
      <c r="B36" s="38" t="s">
        <v>61</v>
      </c>
      <c r="C36" s="84">
        <v>109526</v>
      </c>
      <c r="D36" s="93">
        <f>C36</f>
        <v>109526</v>
      </c>
      <c r="E36" s="15" t="str">
        <f t="shared" si="0"/>
        <v>-</v>
      </c>
      <c r="F36" s="98">
        <f t="shared" si="1"/>
        <v>1</v>
      </c>
    </row>
    <row r="37" spans="1:6" s="5" customFormat="1" ht="42.75" customHeight="1">
      <c r="A37" s="32" t="s">
        <v>176</v>
      </c>
      <c r="B37" s="38" t="s">
        <v>177</v>
      </c>
      <c r="C37" s="84">
        <v>625611</v>
      </c>
      <c r="D37" s="84">
        <f>D12+D14+D25+D31</f>
        <v>625611</v>
      </c>
      <c r="E37" s="15" t="str">
        <f t="shared" si="0"/>
        <v>-</v>
      </c>
      <c r="F37" s="98">
        <f t="shared" si="1"/>
        <v>1</v>
      </c>
    </row>
    <row r="38" spans="1:6" s="3" customFormat="1" ht="30" customHeight="1">
      <c r="A38" s="26" t="s">
        <v>16</v>
      </c>
      <c r="B38" s="46" t="s">
        <v>250</v>
      </c>
      <c r="C38" s="24">
        <f>C39+C40+C41+C49+C51+C57+C58+C56</f>
        <v>24357</v>
      </c>
      <c r="D38" s="24">
        <f>D39+D40+D41+D49+D51+D57+D58+D56</f>
        <v>24357</v>
      </c>
      <c r="E38" s="13" t="str">
        <f t="shared" si="0"/>
        <v>-</v>
      </c>
      <c r="F38" s="99">
        <f t="shared" si="1"/>
        <v>1</v>
      </c>
    </row>
    <row r="39" spans="1:6" ht="28.5" customHeight="1">
      <c r="A39" s="31" t="s">
        <v>17</v>
      </c>
      <c r="B39" s="40" t="s">
        <v>18</v>
      </c>
      <c r="C39" s="81">
        <v>1223</v>
      </c>
      <c r="D39" s="85">
        <f>C39</f>
        <v>1223</v>
      </c>
      <c r="E39" s="96" t="str">
        <f t="shared" si="0"/>
        <v>-</v>
      </c>
      <c r="F39" s="97">
        <f t="shared" si="1"/>
        <v>1</v>
      </c>
    </row>
    <row r="40" spans="1:6" ht="28.5" customHeight="1">
      <c r="A40" s="31" t="s">
        <v>19</v>
      </c>
      <c r="B40" s="40" t="s">
        <v>20</v>
      </c>
      <c r="C40" s="81">
        <v>3299</v>
      </c>
      <c r="D40" s="85">
        <f>C40</f>
        <v>3299</v>
      </c>
      <c r="E40" s="96" t="str">
        <f t="shared" si="0"/>
        <v>-</v>
      </c>
      <c r="F40" s="97">
        <f t="shared" si="1"/>
        <v>1</v>
      </c>
    </row>
    <row r="41" spans="1:6" ht="28.5" customHeight="1">
      <c r="A41" s="31" t="s">
        <v>21</v>
      </c>
      <c r="B41" s="41" t="s">
        <v>251</v>
      </c>
      <c r="C41" s="85">
        <f>C42+C44+C45+C46+C47+C48</f>
        <v>181</v>
      </c>
      <c r="D41" s="85">
        <f>D42+D44+D45+D46+D47+D48</f>
        <v>181</v>
      </c>
      <c r="E41" s="96" t="str">
        <f t="shared" si="0"/>
        <v>-</v>
      </c>
      <c r="F41" s="97">
        <f t="shared" si="1"/>
        <v>1</v>
      </c>
    </row>
    <row r="42" spans="1:6" ht="28.5" customHeight="1">
      <c r="A42" s="42" t="s">
        <v>39</v>
      </c>
      <c r="B42" s="43" t="s">
        <v>32</v>
      </c>
      <c r="C42" s="81">
        <v>43</v>
      </c>
      <c r="D42" s="85">
        <f>C42</f>
        <v>43</v>
      </c>
      <c r="E42" s="96" t="str">
        <f t="shared" si="0"/>
        <v>-</v>
      </c>
      <c r="F42" s="97">
        <f t="shared" si="1"/>
        <v>1</v>
      </c>
    </row>
    <row r="43" spans="1:6" ht="28.5" customHeight="1">
      <c r="A43" s="42" t="s">
        <v>40</v>
      </c>
      <c r="B43" s="44" t="s">
        <v>33</v>
      </c>
      <c r="C43" s="81">
        <v>43</v>
      </c>
      <c r="D43" s="85">
        <f aca="true" t="shared" si="3" ref="D43:D55">C43</f>
        <v>43</v>
      </c>
      <c r="E43" s="96" t="str">
        <f t="shared" si="0"/>
        <v>-</v>
      </c>
      <c r="F43" s="97">
        <f t="shared" si="1"/>
        <v>1</v>
      </c>
    </row>
    <row r="44" spans="1:6" ht="28.5" customHeight="1">
      <c r="A44" s="42" t="s">
        <v>41</v>
      </c>
      <c r="B44" s="43" t="s">
        <v>34</v>
      </c>
      <c r="C44" s="81">
        <v>13</v>
      </c>
      <c r="D44" s="85">
        <f t="shared" si="3"/>
        <v>13</v>
      </c>
      <c r="E44" s="96" t="str">
        <f t="shared" si="0"/>
        <v>-</v>
      </c>
      <c r="F44" s="97">
        <f t="shared" si="1"/>
        <v>1</v>
      </c>
    </row>
    <row r="45" spans="1:6" ht="28.5" customHeight="1">
      <c r="A45" s="42" t="s">
        <v>42</v>
      </c>
      <c r="B45" s="43" t="s">
        <v>35</v>
      </c>
      <c r="C45" s="81">
        <v>0</v>
      </c>
      <c r="D45" s="85">
        <f t="shared" si="3"/>
        <v>0</v>
      </c>
      <c r="E45" s="96" t="str">
        <f t="shared" si="0"/>
        <v>-</v>
      </c>
      <c r="F45" s="97" t="str">
        <f t="shared" si="1"/>
        <v>-</v>
      </c>
    </row>
    <row r="46" spans="1:6" ht="28.5" customHeight="1">
      <c r="A46" s="42" t="s">
        <v>43</v>
      </c>
      <c r="B46" s="43" t="s">
        <v>36</v>
      </c>
      <c r="C46" s="81">
        <v>0</v>
      </c>
      <c r="D46" s="85">
        <f t="shared" si="3"/>
        <v>0</v>
      </c>
      <c r="E46" s="96" t="str">
        <f t="shared" si="0"/>
        <v>-</v>
      </c>
      <c r="F46" s="97" t="str">
        <f t="shared" si="1"/>
        <v>-</v>
      </c>
    </row>
    <row r="47" spans="1:6" ht="28.5" customHeight="1">
      <c r="A47" s="42" t="s">
        <v>44</v>
      </c>
      <c r="B47" s="43" t="s">
        <v>37</v>
      </c>
      <c r="C47" s="81">
        <v>120</v>
      </c>
      <c r="D47" s="85">
        <f t="shared" si="3"/>
        <v>120</v>
      </c>
      <c r="E47" s="96" t="str">
        <f t="shared" si="0"/>
        <v>-</v>
      </c>
      <c r="F47" s="97">
        <f t="shared" si="1"/>
        <v>1</v>
      </c>
    </row>
    <row r="48" spans="1:6" ht="28.5" customHeight="1">
      <c r="A48" s="42" t="s">
        <v>45</v>
      </c>
      <c r="B48" s="43" t="s">
        <v>38</v>
      </c>
      <c r="C48" s="81">
        <v>5</v>
      </c>
      <c r="D48" s="85">
        <f>C48</f>
        <v>5</v>
      </c>
      <c r="E48" s="96" t="str">
        <f t="shared" si="0"/>
        <v>-</v>
      </c>
      <c r="F48" s="97">
        <f t="shared" si="1"/>
        <v>1</v>
      </c>
    </row>
    <row r="49" spans="1:6" ht="28.5" customHeight="1">
      <c r="A49" s="31" t="s">
        <v>22</v>
      </c>
      <c r="B49" s="40" t="s">
        <v>178</v>
      </c>
      <c r="C49" s="81">
        <v>14287</v>
      </c>
      <c r="D49" s="85">
        <f>C49</f>
        <v>14287</v>
      </c>
      <c r="E49" s="96" t="str">
        <f t="shared" si="0"/>
        <v>-</v>
      </c>
      <c r="F49" s="97">
        <f t="shared" si="1"/>
        <v>1</v>
      </c>
    </row>
    <row r="50" spans="1:6" ht="28.5" customHeight="1">
      <c r="A50" s="42" t="s">
        <v>179</v>
      </c>
      <c r="B50" s="43" t="s">
        <v>180</v>
      </c>
      <c r="C50" s="81">
        <v>20</v>
      </c>
      <c r="D50" s="85">
        <f>C50</f>
        <v>20</v>
      </c>
      <c r="E50" s="96" t="str">
        <f t="shared" si="0"/>
        <v>-</v>
      </c>
      <c r="F50" s="97">
        <f t="shared" si="1"/>
        <v>1</v>
      </c>
    </row>
    <row r="51" spans="1:6" ht="28.5" customHeight="1">
      <c r="A51" s="31" t="s">
        <v>23</v>
      </c>
      <c r="B51" s="41" t="s">
        <v>252</v>
      </c>
      <c r="C51" s="77">
        <f>C52+C53+C54+C55</f>
        <v>3168</v>
      </c>
      <c r="D51" s="77">
        <f>D52+D53+D54+D55</f>
        <v>3168</v>
      </c>
      <c r="E51" s="96" t="str">
        <f t="shared" si="0"/>
        <v>-</v>
      </c>
      <c r="F51" s="97">
        <f t="shared" si="1"/>
        <v>1</v>
      </c>
    </row>
    <row r="52" spans="1:6" ht="28.5" customHeight="1">
      <c r="A52" s="42" t="s">
        <v>50</v>
      </c>
      <c r="B52" s="43" t="s">
        <v>46</v>
      </c>
      <c r="C52" s="81">
        <v>2343</v>
      </c>
      <c r="D52" s="85">
        <f t="shared" si="3"/>
        <v>2343</v>
      </c>
      <c r="E52" s="96" t="str">
        <f t="shared" si="0"/>
        <v>-</v>
      </c>
      <c r="F52" s="97">
        <f t="shared" si="1"/>
        <v>1</v>
      </c>
    </row>
    <row r="53" spans="1:6" ht="28.5" customHeight="1">
      <c r="A53" s="42" t="s">
        <v>51</v>
      </c>
      <c r="B53" s="43" t="s">
        <v>47</v>
      </c>
      <c r="C53" s="81">
        <v>271</v>
      </c>
      <c r="D53" s="85">
        <f t="shared" si="3"/>
        <v>271</v>
      </c>
      <c r="E53" s="96" t="str">
        <f t="shared" si="0"/>
        <v>-</v>
      </c>
      <c r="F53" s="97">
        <f t="shared" si="1"/>
        <v>1</v>
      </c>
    </row>
    <row r="54" spans="1:6" ht="28.5" customHeight="1">
      <c r="A54" s="42" t="s">
        <v>52</v>
      </c>
      <c r="B54" s="43" t="s">
        <v>48</v>
      </c>
      <c r="C54" s="81">
        <v>0</v>
      </c>
      <c r="D54" s="85">
        <f t="shared" si="3"/>
        <v>0</v>
      </c>
      <c r="E54" s="96" t="str">
        <f t="shared" si="0"/>
        <v>-</v>
      </c>
      <c r="F54" s="97" t="str">
        <f t="shared" si="1"/>
        <v>-</v>
      </c>
    </row>
    <row r="55" spans="1:6" ht="28.5" customHeight="1">
      <c r="A55" s="42" t="s">
        <v>53</v>
      </c>
      <c r="B55" s="43" t="s">
        <v>49</v>
      </c>
      <c r="C55" s="81">
        <v>554</v>
      </c>
      <c r="D55" s="85">
        <f t="shared" si="3"/>
        <v>554</v>
      </c>
      <c r="E55" s="96" t="str">
        <f t="shared" si="0"/>
        <v>-</v>
      </c>
      <c r="F55" s="97">
        <f t="shared" si="1"/>
        <v>1</v>
      </c>
    </row>
    <row r="56" spans="1:6" ht="28.5" customHeight="1">
      <c r="A56" s="31" t="s">
        <v>24</v>
      </c>
      <c r="B56" s="40" t="s">
        <v>25</v>
      </c>
      <c r="C56" s="81">
        <v>0</v>
      </c>
      <c r="D56" s="85">
        <f>C56</f>
        <v>0</v>
      </c>
      <c r="E56" s="96" t="str">
        <f t="shared" si="0"/>
        <v>-</v>
      </c>
      <c r="F56" s="97" t="str">
        <f t="shared" si="1"/>
        <v>-</v>
      </c>
    </row>
    <row r="57" spans="1:6" ht="28.5" customHeight="1">
      <c r="A57" s="31" t="s">
        <v>26</v>
      </c>
      <c r="B57" s="40" t="s">
        <v>181</v>
      </c>
      <c r="C57" s="81">
        <v>1606</v>
      </c>
      <c r="D57" s="85">
        <f>C57</f>
        <v>1606</v>
      </c>
      <c r="E57" s="96" t="str">
        <f t="shared" si="0"/>
        <v>-</v>
      </c>
      <c r="F57" s="100">
        <f t="shared" si="1"/>
        <v>1</v>
      </c>
    </row>
    <row r="58" spans="1:6" ht="28.5" customHeight="1">
      <c r="A58" s="31" t="s">
        <v>27</v>
      </c>
      <c r="B58" s="40" t="s">
        <v>28</v>
      </c>
      <c r="C58" s="81">
        <v>593</v>
      </c>
      <c r="D58" s="85">
        <f>C58</f>
        <v>593</v>
      </c>
      <c r="E58" s="96" t="str">
        <f t="shared" si="0"/>
        <v>-</v>
      </c>
      <c r="F58" s="97">
        <f t="shared" si="1"/>
        <v>1</v>
      </c>
    </row>
    <row r="59" spans="1:6" s="3" customFormat="1" ht="30" customHeight="1">
      <c r="A59" s="33" t="s">
        <v>29</v>
      </c>
      <c r="B59" s="45" t="s">
        <v>182</v>
      </c>
      <c r="C59" s="27">
        <f>C60+C61+C62+C63</f>
        <v>51462</v>
      </c>
      <c r="D59" s="27">
        <f>D60+D61+D62+D63</f>
        <v>39080</v>
      </c>
      <c r="E59" s="13">
        <f t="shared" si="0"/>
        <v>-12382</v>
      </c>
      <c r="F59" s="101">
        <f t="shared" si="1"/>
        <v>0.7594</v>
      </c>
    </row>
    <row r="60" spans="1:6" ht="42" customHeight="1">
      <c r="A60" s="31" t="s">
        <v>102</v>
      </c>
      <c r="B60" s="40" t="s">
        <v>124</v>
      </c>
      <c r="C60" s="81">
        <v>0</v>
      </c>
      <c r="D60" s="85">
        <f>C60</f>
        <v>0</v>
      </c>
      <c r="E60" s="77" t="str">
        <f t="shared" si="0"/>
        <v>-</v>
      </c>
      <c r="F60" s="97" t="str">
        <f t="shared" si="1"/>
        <v>-</v>
      </c>
    </row>
    <row r="61" spans="1:6" ht="31.5" customHeight="1">
      <c r="A61" s="31" t="s">
        <v>30</v>
      </c>
      <c r="B61" s="40" t="s">
        <v>56</v>
      </c>
      <c r="C61" s="81">
        <v>49717</v>
      </c>
      <c r="D61" s="85">
        <f>C61-11206</f>
        <v>38511</v>
      </c>
      <c r="E61" s="77">
        <f t="shared" si="0"/>
        <v>-11206</v>
      </c>
      <c r="F61" s="97">
        <f t="shared" si="1"/>
        <v>0.7746</v>
      </c>
    </row>
    <row r="62" spans="1:6" ht="31.5" customHeight="1">
      <c r="A62" s="31" t="s">
        <v>31</v>
      </c>
      <c r="B62" s="40" t="s">
        <v>104</v>
      </c>
      <c r="C62" s="81">
        <v>0</v>
      </c>
      <c r="D62" s="85">
        <f>C62</f>
        <v>0</v>
      </c>
      <c r="E62" s="77" t="str">
        <f t="shared" si="0"/>
        <v>-</v>
      </c>
      <c r="F62" s="97" t="str">
        <f t="shared" si="1"/>
        <v>-</v>
      </c>
    </row>
    <row r="63" spans="1:6" ht="31.5" customHeight="1">
      <c r="A63" s="31" t="s">
        <v>103</v>
      </c>
      <c r="B63" s="40" t="s">
        <v>105</v>
      </c>
      <c r="C63" s="81">
        <v>1745</v>
      </c>
      <c r="D63" s="85">
        <f>C63-1176</f>
        <v>569</v>
      </c>
      <c r="E63" s="77">
        <f t="shared" si="0"/>
        <v>-1176</v>
      </c>
      <c r="F63" s="97">
        <f t="shared" si="1"/>
        <v>0.3261</v>
      </c>
    </row>
    <row r="64" spans="1:6" ht="32.25" customHeight="1">
      <c r="A64" s="33" t="s">
        <v>110</v>
      </c>
      <c r="B64" s="45" t="s">
        <v>129</v>
      </c>
      <c r="C64" s="27">
        <v>31682</v>
      </c>
      <c r="D64" s="27">
        <f>C64-17599</f>
        <v>14083</v>
      </c>
      <c r="E64" s="13">
        <f t="shared" si="0"/>
        <v>-17599</v>
      </c>
      <c r="F64" s="101">
        <f t="shared" si="1"/>
        <v>0.4445</v>
      </c>
    </row>
  </sheetData>
  <sheetProtection formatCells="0" formatColumns="0" formatRows="0" insertColumns="0" insertRows="0" insertHyperlinks="0" deleteColumns="0" deleteRows="0"/>
  <mergeCells count="7">
    <mergeCell ref="F4:F5"/>
    <mergeCell ref="A1:F1"/>
    <mergeCell ref="A4:A5"/>
    <mergeCell ref="B4:B5"/>
    <mergeCell ref="C4:C5"/>
    <mergeCell ref="D4:D5"/>
    <mergeCell ref="E4:E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8" r:id="rId1"/>
  <headerFooter alignWithMargins="0">
    <oddFooter>&amp;R&amp;20&amp;P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showGridLines="0" view="pageBreakPreview" zoomScale="55" zoomScaleNormal="70" zoomScaleSheetLayoutView="55" zoomScalePageLayoutView="0" workbookViewId="0" topLeftCell="A1">
      <pane xSplit="2" ySplit="7" topLeftCell="C47" activePane="bottomRight" state="frozen"/>
      <selection pane="topLeft" activeCell="G1" sqref="G1:S65536"/>
      <selection pane="topRight" activeCell="G1" sqref="G1:S65536"/>
      <selection pane="bottomLeft" activeCell="G1" sqref="G1:S65536"/>
      <selection pane="bottomRight" activeCell="G1" sqref="G1:S65536"/>
    </sheetView>
  </sheetViews>
  <sheetFormatPr defaultColWidth="9.00390625" defaultRowHeight="12.75"/>
  <cols>
    <col min="1" max="1" width="9.125" style="2" customWidth="1"/>
    <col min="2" max="2" width="125.875" style="2" customWidth="1"/>
    <col min="3" max="3" width="25.75390625" style="2" customWidth="1"/>
    <col min="4" max="4" width="26.875" style="2" customWidth="1"/>
    <col min="5" max="5" width="25.125" style="2" customWidth="1"/>
    <col min="6" max="6" width="20.75390625" style="2" customWidth="1"/>
    <col min="7" max="16384" width="9.125" style="2" customWidth="1"/>
  </cols>
  <sheetData>
    <row r="1" spans="1:6" s="48" customFormat="1" ht="38.25" customHeight="1">
      <c r="A1" s="152" t="str">
        <f>NFZ!A1</f>
        <v>ZMIANA PLANU NARODOWEGO FUNDUSZU ZDROWIA NA 2014 R. Z DNIA 30 GRUDNIA 2014 R.</v>
      </c>
      <c r="B1" s="152"/>
      <c r="C1" s="152"/>
      <c r="D1" s="152"/>
      <c r="E1" s="152"/>
      <c r="F1" s="152"/>
    </row>
    <row r="2" spans="1:3" s="50" customFormat="1" ht="33" customHeight="1">
      <c r="A2" s="88" t="s">
        <v>64</v>
      </c>
      <c r="B2" s="88"/>
      <c r="C2" s="94"/>
    </row>
    <row r="3" spans="1:6" ht="33" customHeight="1">
      <c r="A3" s="8"/>
      <c r="B3" s="9"/>
      <c r="C3" s="87"/>
      <c r="D3" s="87"/>
      <c r="E3" s="87" t="s">
        <v>159</v>
      </c>
      <c r="F3" s="10"/>
    </row>
    <row r="4" spans="1:6" s="6" customFormat="1" ht="45" customHeight="1">
      <c r="A4" s="149" t="s">
        <v>132</v>
      </c>
      <c r="B4" s="149" t="s">
        <v>55</v>
      </c>
      <c r="C4" s="150" t="s">
        <v>236</v>
      </c>
      <c r="D4" s="150" t="s">
        <v>191</v>
      </c>
      <c r="E4" s="153" t="s">
        <v>192</v>
      </c>
      <c r="F4" s="153" t="s">
        <v>193</v>
      </c>
    </row>
    <row r="5" spans="1:6" s="6" customFormat="1" ht="45" customHeight="1">
      <c r="A5" s="149"/>
      <c r="B5" s="149"/>
      <c r="C5" s="151"/>
      <c r="D5" s="151"/>
      <c r="E5" s="153"/>
      <c r="F5" s="153"/>
    </row>
    <row r="6" spans="1:6" s="4" customFormat="1" ht="14.25">
      <c r="A6" s="47">
        <v>1</v>
      </c>
      <c r="B6" s="52">
        <v>2</v>
      </c>
      <c r="C6" s="47">
        <v>3</v>
      </c>
      <c r="D6" s="52">
        <v>4</v>
      </c>
      <c r="E6" s="47">
        <v>5</v>
      </c>
      <c r="F6" s="52">
        <v>6</v>
      </c>
    </row>
    <row r="7" spans="1:6" s="3" customFormat="1" ht="30" customHeight="1">
      <c r="A7" s="23" t="s">
        <v>0</v>
      </c>
      <c r="B7" s="39" t="s">
        <v>248</v>
      </c>
      <c r="C7" s="16">
        <f>C8+C9+C10+C15+C16+C17+C18+C19+C20+C21+C22+C23+C24+C25+C29+C30+C32+C33</f>
        <v>3600256</v>
      </c>
      <c r="D7" s="16">
        <f>D8+D9+D10+D15+D16+D17+D18+D19+D20+D21+D22+D23+D24+D25+D29+D30+D32+D33</f>
        <v>3604062</v>
      </c>
      <c r="E7" s="13">
        <f>IF(C7=D7,"-",D7-C7)</f>
        <v>3806</v>
      </c>
      <c r="F7" s="95">
        <f>IF(C7=0,"-",D7/C7)</f>
        <v>1.001</v>
      </c>
    </row>
    <row r="8" spans="1:6" ht="33" customHeight="1">
      <c r="A8" s="29" t="s">
        <v>1</v>
      </c>
      <c r="B8" s="35" t="s">
        <v>133</v>
      </c>
      <c r="C8" s="81">
        <v>447000</v>
      </c>
      <c r="D8" s="25">
        <f>C8</f>
        <v>447000</v>
      </c>
      <c r="E8" s="96" t="str">
        <f aca="true" t="shared" si="0" ref="E8:E64">IF(C8=D8,"-",D8-C8)</f>
        <v>-</v>
      </c>
      <c r="F8" s="97">
        <f aca="true" t="shared" si="1" ref="F8:F64">IF(C8=0,"-",D8/C8)</f>
        <v>1</v>
      </c>
    </row>
    <row r="9" spans="1:6" ht="33" customHeight="1">
      <c r="A9" s="29" t="s">
        <v>2</v>
      </c>
      <c r="B9" s="35" t="s">
        <v>134</v>
      </c>
      <c r="C9" s="81">
        <v>289698</v>
      </c>
      <c r="D9" s="25">
        <f aca="true" t="shared" si="2" ref="D9:D34">C9</f>
        <v>289698</v>
      </c>
      <c r="E9" s="96" t="str">
        <f t="shared" si="0"/>
        <v>-</v>
      </c>
      <c r="F9" s="97">
        <f t="shared" si="1"/>
        <v>1</v>
      </c>
    </row>
    <row r="10" spans="1:6" ht="33" customHeight="1">
      <c r="A10" s="29" t="s">
        <v>3</v>
      </c>
      <c r="B10" s="35" t="s">
        <v>131</v>
      </c>
      <c r="C10" s="81">
        <v>1765736</v>
      </c>
      <c r="D10" s="25">
        <f>C10+3806</f>
        <v>1769542</v>
      </c>
      <c r="E10" s="96">
        <f t="shared" si="0"/>
        <v>3806</v>
      </c>
      <c r="F10" s="97">
        <f t="shared" si="1"/>
        <v>1.0022</v>
      </c>
    </row>
    <row r="11" spans="1:6" ht="31.5" customHeight="1">
      <c r="A11" s="28" t="s">
        <v>57</v>
      </c>
      <c r="B11" s="34" t="s">
        <v>160</v>
      </c>
      <c r="C11" s="81">
        <v>135559</v>
      </c>
      <c r="D11" s="25">
        <f t="shared" si="2"/>
        <v>135559</v>
      </c>
      <c r="E11" s="96" t="str">
        <f t="shared" si="0"/>
        <v>-</v>
      </c>
      <c r="F11" s="97">
        <f t="shared" si="1"/>
        <v>1</v>
      </c>
    </row>
    <row r="12" spans="1:6" ht="31.5" customHeight="1">
      <c r="A12" s="28" t="s">
        <v>161</v>
      </c>
      <c r="B12" s="34" t="s">
        <v>164</v>
      </c>
      <c r="C12" s="81">
        <v>123478</v>
      </c>
      <c r="D12" s="25">
        <f t="shared" si="2"/>
        <v>123478</v>
      </c>
      <c r="E12" s="96" t="str">
        <f t="shared" si="0"/>
        <v>-</v>
      </c>
      <c r="F12" s="97">
        <f t="shared" si="1"/>
        <v>1</v>
      </c>
    </row>
    <row r="13" spans="1:6" ht="31.5" customHeight="1">
      <c r="A13" s="28" t="s">
        <v>162</v>
      </c>
      <c r="B13" s="34" t="s">
        <v>165</v>
      </c>
      <c r="C13" s="81">
        <v>79444</v>
      </c>
      <c r="D13" s="25">
        <f t="shared" si="2"/>
        <v>79444</v>
      </c>
      <c r="E13" s="96" t="str">
        <f t="shared" si="0"/>
        <v>-</v>
      </c>
      <c r="F13" s="97">
        <f t="shared" si="1"/>
        <v>1</v>
      </c>
    </row>
    <row r="14" spans="1:6" ht="31.5" customHeight="1">
      <c r="A14" s="28" t="s">
        <v>163</v>
      </c>
      <c r="B14" s="34" t="s">
        <v>166</v>
      </c>
      <c r="C14" s="81">
        <v>31219</v>
      </c>
      <c r="D14" s="25">
        <f t="shared" si="2"/>
        <v>31219</v>
      </c>
      <c r="E14" s="96" t="str">
        <f t="shared" si="0"/>
        <v>-</v>
      </c>
      <c r="F14" s="97">
        <f t="shared" si="1"/>
        <v>1</v>
      </c>
    </row>
    <row r="15" spans="1:6" ht="33" customHeight="1">
      <c r="A15" s="29" t="s">
        <v>4</v>
      </c>
      <c r="B15" s="35" t="s">
        <v>139</v>
      </c>
      <c r="C15" s="81">
        <v>130267</v>
      </c>
      <c r="D15" s="25">
        <f t="shared" si="2"/>
        <v>130267</v>
      </c>
      <c r="E15" s="96" t="str">
        <f t="shared" si="0"/>
        <v>-</v>
      </c>
      <c r="F15" s="97">
        <f t="shared" si="1"/>
        <v>1</v>
      </c>
    </row>
    <row r="16" spans="1:6" ht="33" customHeight="1">
      <c r="A16" s="29" t="s">
        <v>5</v>
      </c>
      <c r="B16" s="35" t="s">
        <v>135</v>
      </c>
      <c r="C16" s="81">
        <v>110548</v>
      </c>
      <c r="D16" s="25">
        <f t="shared" si="2"/>
        <v>110548</v>
      </c>
      <c r="E16" s="96" t="str">
        <f t="shared" si="0"/>
        <v>-</v>
      </c>
      <c r="F16" s="97">
        <f t="shared" si="1"/>
        <v>1</v>
      </c>
    </row>
    <row r="17" spans="1:6" ht="33" customHeight="1">
      <c r="A17" s="29" t="s">
        <v>6</v>
      </c>
      <c r="B17" s="35" t="s">
        <v>141</v>
      </c>
      <c r="C17" s="81">
        <v>54449</v>
      </c>
      <c r="D17" s="25">
        <f t="shared" si="2"/>
        <v>54449</v>
      </c>
      <c r="E17" s="96" t="str">
        <f t="shared" si="0"/>
        <v>-</v>
      </c>
      <c r="F17" s="97">
        <f t="shared" si="1"/>
        <v>1</v>
      </c>
    </row>
    <row r="18" spans="1:6" ht="33" customHeight="1">
      <c r="A18" s="29" t="s">
        <v>7</v>
      </c>
      <c r="B18" s="35" t="s">
        <v>140</v>
      </c>
      <c r="C18" s="81">
        <v>15279</v>
      </c>
      <c r="D18" s="25">
        <f t="shared" si="2"/>
        <v>15279</v>
      </c>
      <c r="E18" s="96" t="str">
        <f t="shared" si="0"/>
        <v>-</v>
      </c>
      <c r="F18" s="97">
        <f t="shared" si="1"/>
        <v>1</v>
      </c>
    </row>
    <row r="19" spans="1:6" ht="33" customHeight="1">
      <c r="A19" s="29" t="s">
        <v>8</v>
      </c>
      <c r="B19" s="35" t="s">
        <v>136</v>
      </c>
      <c r="C19" s="81">
        <v>122503</v>
      </c>
      <c r="D19" s="25">
        <f t="shared" si="2"/>
        <v>122503</v>
      </c>
      <c r="E19" s="96" t="str">
        <f t="shared" si="0"/>
        <v>-</v>
      </c>
      <c r="F19" s="97">
        <f t="shared" si="1"/>
        <v>1</v>
      </c>
    </row>
    <row r="20" spans="1:6" ht="33" customHeight="1">
      <c r="A20" s="29" t="s">
        <v>9</v>
      </c>
      <c r="B20" s="35" t="s">
        <v>137</v>
      </c>
      <c r="C20" s="81">
        <v>39960</v>
      </c>
      <c r="D20" s="25">
        <f t="shared" si="2"/>
        <v>39960</v>
      </c>
      <c r="E20" s="96" t="str">
        <f t="shared" si="0"/>
        <v>-</v>
      </c>
      <c r="F20" s="97">
        <f t="shared" si="1"/>
        <v>1</v>
      </c>
    </row>
    <row r="21" spans="1:6" ht="33" customHeight="1">
      <c r="A21" s="29" t="s">
        <v>10</v>
      </c>
      <c r="B21" s="35" t="s">
        <v>142</v>
      </c>
      <c r="C21" s="81">
        <v>3200</v>
      </c>
      <c r="D21" s="25">
        <f t="shared" si="2"/>
        <v>3200</v>
      </c>
      <c r="E21" s="96" t="str">
        <f t="shared" si="0"/>
        <v>-</v>
      </c>
      <c r="F21" s="97">
        <f t="shared" si="1"/>
        <v>1</v>
      </c>
    </row>
    <row r="22" spans="1:6" ht="46.5" customHeight="1">
      <c r="A22" s="29" t="s">
        <v>11</v>
      </c>
      <c r="B22" s="35" t="s">
        <v>138</v>
      </c>
      <c r="C22" s="81">
        <v>8570</v>
      </c>
      <c r="D22" s="25">
        <f t="shared" si="2"/>
        <v>8570</v>
      </c>
      <c r="E22" s="96" t="str">
        <f t="shared" si="0"/>
        <v>-</v>
      </c>
      <c r="F22" s="97">
        <f t="shared" si="1"/>
        <v>1</v>
      </c>
    </row>
    <row r="23" spans="1:6" ht="33" customHeight="1">
      <c r="A23" s="29" t="s">
        <v>12</v>
      </c>
      <c r="B23" s="35" t="s">
        <v>185</v>
      </c>
      <c r="C23" s="81">
        <v>90697</v>
      </c>
      <c r="D23" s="25">
        <f t="shared" si="2"/>
        <v>90697</v>
      </c>
      <c r="E23" s="96" t="str">
        <f t="shared" si="0"/>
        <v>-</v>
      </c>
      <c r="F23" s="97">
        <f t="shared" si="1"/>
        <v>1</v>
      </c>
    </row>
    <row r="24" spans="1:6" ht="33" customHeight="1">
      <c r="A24" s="29" t="s">
        <v>13</v>
      </c>
      <c r="B24" s="35" t="s">
        <v>167</v>
      </c>
      <c r="C24" s="81">
        <v>43000</v>
      </c>
      <c r="D24" s="25">
        <f t="shared" si="2"/>
        <v>43000</v>
      </c>
      <c r="E24" s="96" t="str">
        <f t="shared" si="0"/>
        <v>-</v>
      </c>
      <c r="F24" s="97">
        <f t="shared" si="1"/>
        <v>1</v>
      </c>
    </row>
    <row r="25" spans="1:6" ht="33" customHeight="1">
      <c r="A25" s="30" t="s">
        <v>14</v>
      </c>
      <c r="B25" s="78" t="s">
        <v>249</v>
      </c>
      <c r="C25" s="25">
        <f>SUM(C26:C28)</f>
        <v>445249</v>
      </c>
      <c r="D25" s="25">
        <f>SUM(D26:D28)</f>
        <v>445249</v>
      </c>
      <c r="E25" s="96" t="str">
        <f t="shared" si="0"/>
        <v>-</v>
      </c>
      <c r="F25" s="97">
        <f t="shared" si="1"/>
        <v>1</v>
      </c>
    </row>
    <row r="26" spans="1:6" ht="31.5">
      <c r="A26" s="28" t="s">
        <v>143</v>
      </c>
      <c r="B26" s="34" t="s">
        <v>170</v>
      </c>
      <c r="C26" s="81">
        <v>443049</v>
      </c>
      <c r="D26" s="25">
        <f t="shared" si="2"/>
        <v>443049</v>
      </c>
      <c r="E26" s="96" t="str">
        <f t="shared" si="0"/>
        <v>-</v>
      </c>
      <c r="F26" s="97">
        <f t="shared" si="1"/>
        <v>1</v>
      </c>
    </row>
    <row r="27" spans="1:6" ht="31.5" customHeight="1">
      <c r="A27" s="28" t="s">
        <v>169</v>
      </c>
      <c r="B27" s="34" t="s">
        <v>172</v>
      </c>
      <c r="C27" s="81">
        <v>2000</v>
      </c>
      <c r="D27" s="25">
        <f t="shared" si="2"/>
        <v>2000</v>
      </c>
      <c r="E27" s="96" t="str">
        <f t="shared" si="0"/>
        <v>-</v>
      </c>
      <c r="F27" s="97">
        <f t="shared" si="1"/>
        <v>1</v>
      </c>
    </row>
    <row r="28" spans="1:6" ht="31.5" customHeight="1">
      <c r="A28" s="28" t="s">
        <v>173</v>
      </c>
      <c r="B28" s="34" t="s">
        <v>171</v>
      </c>
      <c r="C28" s="81">
        <v>200</v>
      </c>
      <c r="D28" s="25">
        <f t="shared" si="2"/>
        <v>200</v>
      </c>
      <c r="E28" s="96" t="str">
        <f t="shared" si="0"/>
        <v>-</v>
      </c>
      <c r="F28" s="97">
        <f t="shared" si="1"/>
        <v>1</v>
      </c>
    </row>
    <row r="29" spans="1:6" ht="33" customHeight="1">
      <c r="A29" s="31" t="s">
        <v>15</v>
      </c>
      <c r="B29" s="36" t="s">
        <v>122</v>
      </c>
      <c r="C29" s="81">
        <v>0</v>
      </c>
      <c r="D29" s="25">
        <f t="shared" si="2"/>
        <v>0</v>
      </c>
      <c r="E29" s="96" t="str">
        <f t="shared" si="0"/>
        <v>-</v>
      </c>
      <c r="F29" s="97" t="str">
        <f t="shared" si="1"/>
        <v>-</v>
      </c>
    </row>
    <row r="30" spans="1:6" ht="33" customHeight="1">
      <c r="A30" s="31" t="s">
        <v>119</v>
      </c>
      <c r="B30" s="37" t="s">
        <v>174</v>
      </c>
      <c r="C30" s="81">
        <v>0</v>
      </c>
      <c r="D30" s="25">
        <f t="shared" si="2"/>
        <v>0</v>
      </c>
      <c r="E30" s="96" t="str">
        <f t="shared" si="0"/>
        <v>-</v>
      </c>
      <c r="F30" s="97" t="str">
        <f t="shared" si="1"/>
        <v>-</v>
      </c>
    </row>
    <row r="31" spans="1:6" ht="31.5" customHeight="1">
      <c r="A31" s="28" t="s">
        <v>175</v>
      </c>
      <c r="B31" s="34" t="s">
        <v>187</v>
      </c>
      <c r="C31" s="81">
        <v>0</v>
      </c>
      <c r="D31" s="25">
        <f t="shared" si="2"/>
        <v>0</v>
      </c>
      <c r="E31" s="96" t="str">
        <f t="shared" si="0"/>
        <v>-</v>
      </c>
      <c r="F31" s="97" t="str">
        <f t="shared" si="1"/>
        <v>-</v>
      </c>
    </row>
    <row r="32" spans="1:6" ht="33" customHeight="1">
      <c r="A32" s="31" t="s">
        <v>120</v>
      </c>
      <c r="B32" s="37" t="s">
        <v>123</v>
      </c>
      <c r="C32" s="81">
        <v>0</v>
      </c>
      <c r="D32" s="25">
        <f t="shared" si="2"/>
        <v>0</v>
      </c>
      <c r="E32" s="96" t="str">
        <f t="shared" si="0"/>
        <v>-</v>
      </c>
      <c r="F32" s="97" t="str">
        <f t="shared" si="1"/>
        <v>-</v>
      </c>
    </row>
    <row r="33" spans="1:6" ht="33" customHeight="1">
      <c r="A33" s="31" t="s">
        <v>121</v>
      </c>
      <c r="B33" s="37" t="s">
        <v>186</v>
      </c>
      <c r="C33" s="81">
        <v>34100</v>
      </c>
      <c r="D33" s="25">
        <f t="shared" si="2"/>
        <v>34100</v>
      </c>
      <c r="E33" s="96" t="str">
        <f t="shared" si="0"/>
        <v>-</v>
      </c>
      <c r="F33" s="97">
        <f t="shared" si="1"/>
        <v>1</v>
      </c>
    </row>
    <row r="34" spans="1:6" ht="51.75" customHeight="1">
      <c r="A34" s="31" t="s">
        <v>246</v>
      </c>
      <c r="B34" s="37" t="s">
        <v>247</v>
      </c>
      <c r="C34" s="81">
        <v>0</v>
      </c>
      <c r="D34" s="25">
        <f t="shared" si="2"/>
        <v>0</v>
      </c>
      <c r="E34" s="96" t="str">
        <f>IF(C34=D34,"-",D34-C34)</f>
        <v>-</v>
      </c>
      <c r="F34" s="97" t="str">
        <f>IF(C34=0,"-",D34/C34)</f>
        <v>-</v>
      </c>
    </row>
    <row r="35" spans="1:6" s="5" customFormat="1" ht="31.5" customHeight="1">
      <c r="A35" s="32" t="s">
        <v>59</v>
      </c>
      <c r="B35" s="38" t="s">
        <v>60</v>
      </c>
      <c r="C35" s="84">
        <v>0</v>
      </c>
      <c r="D35" s="92">
        <f>C35</f>
        <v>0</v>
      </c>
      <c r="E35" s="15" t="str">
        <f t="shared" si="0"/>
        <v>-</v>
      </c>
      <c r="F35" s="98" t="str">
        <f t="shared" si="1"/>
        <v>-</v>
      </c>
    </row>
    <row r="36" spans="1:6" s="5" customFormat="1" ht="31.5" customHeight="1">
      <c r="A36" s="32" t="s">
        <v>58</v>
      </c>
      <c r="B36" s="38" t="s">
        <v>61</v>
      </c>
      <c r="C36" s="84">
        <v>112868</v>
      </c>
      <c r="D36" s="93">
        <f>C36</f>
        <v>112868</v>
      </c>
      <c r="E36" s="15" t="str">
        <f t="shared" si="0"/>
        <v>-</v>
      </c>
      <c r="F36" s="98">
        <f t="shared" si="1"/>
        <v>1</v>
      </c>
    </row>
    <row r="37" spans="1:6" s="5" customFormat="1" ht="42.75" customHeight="1">
      <c r="A37" s="32" t="s">
        <v>176</v>
      </c>
      <c r="B37" s="38" t="s">
        <v>177</v>
      </c>
      <c r="C37" s="84">
        <v>599946</v>
      </c>
      <c r="D37" s="84">
        <f>D12+D14+D25+D31</f>
        <v>599946</v>
      </c>
      <c r="E37" s="15" t="str">
        <f t="shared" si="0"/>
        <v>-</v>
      </c>
      <c r="F37" s="98">
        <f t="shared" si="1"/>
        <v>1</v>
      </c>
    </row>
    <row r="38" spans="1:6" s="3" customFormat="1" ht="30" customHeight="1">
      <c r="A38" s="26" t="s">
        <v>16</v>
      </c>
      <c r="B38" s="46" t="s">
        <v>250</v>
      </c>
      <c r="C38" s="24">
        <f>C39+C40+C41+C49+C51+C57+C58+C56</f>
        <v>24472</v>
      </c>
      <c r="D38" s="24">
        <f>D39+D40+D41+D49+D51+D57+D58+D56</f>
        <v>24472</v>
      </c>
      <c r="E38" s="13" t="str">
        <f t="shared" si="0"/>
        <v>-</v>
      </c>
      <c r="F38" s="99">
        <f t="shared" si="1"/>
        <v>1</v>
      </c>
    </row>
    <row r="39" spans="1:6" ht="28.5" customHeight="1">
      <c r="A39" s="31" t="s">
        <v>17</v>
      </c>
      <c r="B39" s="40" t="s">
        <v>18</v>
      </c>
      <c r="C39" s="81">
        <v>1010</v>
      </c>
      <c r="D39" s="85">
        <f>C39</f>
        <v>1010</v>
      </c>
      <c r="E39" s="96" t="str">
        <f t="shared" si="0"/>
        <v>-</v>
      </c>
      <c r="F39" s="97">
        <f t="shared" si="1"/>
        <v>1</v>
      </c>
    </row>
    <row r="40" spans="1:6" ht="28.5" customHeight="1">
      <c r="A40" s="31" t="s">
        <v>19</v>
      </c>
      <c r="B40" s="40" t="s">
        <v>20</v>
      </c>
      <c r="C40" s="81">
        <v>2988</v>
      </c>
      <c r="D40" s="85">
        <f>C40</f>
        <v>2988</v>
      </c>
      <c r="E40" s="96" t="str">
        <f t="shared" si="0"/>
        <v>-</v>
      </c>
      <c r="F40" s="97">
        <f t="shared" si="1"/>
        <v>1</v>
      </c>
    </row>
    <row r="41" spans="1:6" ht="28.5" customHeight="1">
      <c r="A41" s="31" t="s">
        <v>21</v>
      </c>
      <c r="B41" s="41" t="s">
        <v>251</v>
      </c>
      <c r="C41" s="85">
        <f>C42+C44+C45+C46+C47+C48</f>
        <v>242</v>
      </c>
      <c r="D41" s="85">
        <f>D42+D44+D45+D46+D47+D48</f>
        <v>242</v>
      </c>
      <c r="E41" s="96" t="str">
        <f t="shared" si="0"/>
        <v>-</v>
      </c>
      <c r="F41" s="97">
        <f t="shared" si="1"/>
        <v>1</v>
      </c>
    </row>
    <row r="42" spans="1:6" ht="28.5" customHeight="1">
      <c r="A42" s="42" t="s">
        <v>39</v>
      </c>
      <c r="B42" s="43" t="s">
        <v>32</v>
      </c>
      <c r="C42" s="81">
        <v>29</v>
      </c>
      <c r="D42" s="85">
        <f>C42</f>
        <v>29</v>
      </c>
      <c r="E42" s="96" t="str">
        <f t="shared" si="0"/>
        <v>-</v>
      </c>
      <c r="F42" s="97">
        <f t="shared" si="1"/>
        <v>1</v>
      </c>
    </row>
    <row r="43" spans="1:6" ht="28.5" customHeight="1">
      <c r="A43" s="42" t="s">
        <v>40</v>
      </c>
      <c r="B43" s="44" t="s">
        <v>33</v>
      </c>
      <c r="C43" s="81">
        <v>29</v>
      </c>
      <c r="D43" s="85">
        <f aca="true" t="shared" si="3" ref="D43:D55">C43</f>
        <v>29</v>
      </c>
      <c r="E43" s="96" t="str">
        <f t="shared" si="0"/>
        <v>-</v>
      </c>
      <c r="F43" s="97">
        <f t="shared" si="1"/>
        <v>1</v>
      </c>
    </row>
    <row r="44" spans="1:6" ht="28.5" customHeight="1">
      <c r="A44" s="42" t="s">
        <v>41</v>
      </c>
      <c r="B44" s="43" t="s">
        <v>34</v>
      </c>
      <c r="C44" s="81">
        <v>0</v>
      </c>
      <c r="D44" s="85">
        <f t="shared" si="3"/>
        <v>0</v>
      </c>
      <c r="E44" s="96" t="str">
        <f t="shared" si="0"/>
        <v>-</v>
      </c>
      <c r="F44" s="97" t="str">
        <f t="shared" si="1"/>
        <v>-</v>
      </c>
    </row>
    <row r="45" spans="1:6" ht="28.5" customHeight="1">
      <c r="A45" s="42" t="s">
        <v>42</v>
      </c>
      <c r="B45" s="43" t="s">
        <v>35</v>
      </c>
      <c r="C45" s="81">
        <v>0</v>
      </c>
      <c r="D45" s="85">
        <f t="shared" si="3"/>
        <v>0</v>
      </c>
      <c r="E45" s="96" t="str">
        <f t="shared" si="0"/>
        <v>-</v>
      </c>
      <c r="F45" s="97" t="str">
        <f t="shared" si="1"/>
        <v>-</v>
      </c>
    </row>
    <row r="46" spans="1:6" ht="28.5" customHeight="1">
      <c r="A46" s="42" t="s">
        <v>43</v>
      </c>
      <c r="B46" s="43" t="s">
        <v>36</v>
      </c>
      <c r="C46" s="81">
        <v>0</v>
      </c>
      <c r="D46" s="85">
        <f t="shared" si="3"/>
        <v>0</v>
      </c>
      <c r="E46" s="96" t="str">
        <f t="shared" si="0"/>
        <v>-</v>
      </c>
      <c r="F46" s="97" t="str">
        <f t="shared" si="1"/>
        <v>-</v>
      </c>
    </row>
    <row r="47" spans="1:6" ht="28.5" customHeight="1">
      <c r="A47" s="42" t="s">
        <v>44</v>
      </c>
      <c r="B47" s="43" t="s">
        <v>37</v>
      </c>
      <c r="C47" s="81">
        <v>203</v>
      </c>
      <c r="D47" s="85">
        <f t="shared" si="3"/>
        <v>203</v>
      </c>
      <c r="E47" s="96" t="str">
        <f t="shared" si="0"/>
        <v>-</v>
      </c>
      <c r="F47" s="97">
        <f t="shared" si="1"/>
        <v>1</v>
      </c>
    </row>
    <row r="48" spans="1:6" ht="28.5" customHeight="1">
      <c r="A48" s="42" t="s">
        <v>45</v>
      </c>
      <c r="B48" s="43" t="s">
        <v>38</v>
      </c>
      <c r="C48" s="81">
        <v>10</v>
      </c>
      <c r="D48" s="85">
        <f>C48</f>
        <v>10</v>
      </c>
      <c r="E48" s="96" t="str">
        <f t="shared" si="0"/>
        <v>-</v>
      </c>
      <c r="F48" s="97">
        <f t="shared" si="1"/>
        <v>1</v>
      </c>
    </row>
    <row r="49" spans="1:6" ht="28.5" customHeight="1">
      <c r="A49" s="31" t="s">
        <v>22</v>
      </c>
      <c r="B49" s="40" t="s">
        <v>178</v>
      </c>
      <c r="C49" s="81">
        <v>14925</v>
      </c>
      <c r="D49" s="85">
        <f>C49</f>
        <v>14925</v>
      </c>
      <c r="E49" s="96" t="str">
        <f t="shared" si="0"/>
        <v>-</v>
      </c>
      <c r="F49" s="97">
        <f t="shared" si="1"/>
        <v>1</v>
      </c>
    </row>
    <row r="50" spans="1:6" ht="28.5" customHeight="1">
      <c r="A50" s="42" t="s">
        <v>179</v>
      </c>
      <c r="B50" s="43" t="s">
        <v>180</v>
      </c>
      <c r="C50" s="81">
        <v>144</v>
      </c>
      <c r="D50" s="85">
        <f>C50</f>
        <v>144</v>
      </c>
      <c r="E50" s="96" t="str">
        <f t="shared" si="0"/>
        <v>-</v>
      </c>
      <c r="F50" s="97">
        <f t="shared" si="1"/>
        <v>1</v>
      </c>
    </row>
    <row r="51" spans="1:6" ht="28.5" customHeight="1">
      <c r="A51" s="31" t="s">
        <v>23</v>
      </c>
      <c r="B51" s="41" t="s">
        <v>252</v>
      </c>
      <c r="C51" s="77">
        <f>C52+C53+C54+C55</f>
        <v>3307</v>
      </c>
      <c r="D51" s="77">
        <f>D52+D53+D54+D55</f>
        <v>3307</v>
      </c>
      <c r="E51" s="96" t="str">
        <f t="shared" si="0"/>
        <v>-</v>
      </c>
      <c r="F51" s="97">
        <f t="shared" si="1"/>
        <v>1</v>
      </c>
    </row>
    <row r="52" spans="1:6" ht="28.5" customHeight="1">
      <c r="A52" s="42" t="s">
        <v>50</v>
      </c>
      <c r="B52" s="43" t="s">
        <v>46</v>
      </c>
      <c r="C52" s="81">
        <v>2566</v>
      </c>
      <c r="D52" s="85">
        <f t="shared" si="3"/>
        <v>2566</v>
      </c>
      <c r="E52" s="96" t="str">
        <f t="shared" si="0"/>
        <v>-</v>
      </c>
      <c r="F52" s="97">
        <f t="shared" si="1"/>
        <v>1</v>
      </c>
    </row>
    <row r="53" spans="1:6" ht="28.5" customHeight="1">
      <c r="A53" s="42" t="s">
        <v>51</v>
      </c>
      <c r="B53" s="43" t="s">
        <v>47</v>
      </c>
      <c r="C53" s="81">
        <v>365</v>
      </c>
      <c r="D53" s="85">
        <f t="shared" si="3"/>
        <v>365</v>
      </c>
      <c r="E53" s="96" t="str">
        <f t="shared" si="0"/>
        <v>-</v>
      </c>
      <c r="F53" s="97">
        <f t="shared" si="1"/>
        <v>1</v>
      </c>
    </row>
    <row r="54" spans="1:6" ht="28.5" customHeight="1">
      <c r="A54" s="42" t="s">
        <v>52</v>
      </c>
      <c r="B54" s="43" t="s">
        <v>48</v>
      </c>
      <c r="C54" s="81">
        <v>0</v>
      </c>
      <c r="D54" s="85">
        <f t="shared" si="3"/>
        <v>0</v>
      </c>
      <c r="E54" s="96" t="str">
        <f t="shared" si="0"/>
        <v>-</v>
      </c>
      <c r="F54" s="97" t="str">
        <f t="shared" si="1"/>
        <v>-</v>
      </c>
    </row>
    <row r="55" spans="1:6" ht="28.5" customHeight="1">
      <c r="A55" s="42" t="s">
        <v>53</v>
      </c>
      <c r="B55" s="43" t="s">
        <v>49</v>
      </c>
      <c r="C55" s="81">
        <v>376</v>
      </c>
      <c r="D55" s="85">
        <f t="shared" si="3"/>
        <v>376</v>
      </c>
      <c r="E55" s="96" t="str">
        <f t="shared" si="0"/>
        <v>-</v>
      </c>
      <c r="F55" s="97">
        <f t="shared" si="1"/>
        <v>1</v>
      </c>
    </row>
    <row r="56" spans="1:6" ht="28.5" customHeight="1">
      <c r="A56" s="31" t="s">
        <v>24</v>
      </c>
      <c r="B56" s="40" t="s">
        <v>25</v>
      </c>
      <c r="C56" s="81">
        <v>0</v>
      </c>
      <c r="D56" s="85">
        <f>C56</f>
        <v>0</v>
      </c>
      <c r="E56" s="96" t="str">
        <f t="shared" si="0"/>
        <v>-</v>
      </c>
      <c r="F56" s="97" t="str">
        <f t="shared" si="1"/>
        <v>-</v>
      </c>
    </row>
    <row r="57" spans="1:6" ht="28.5" customHeight="1">
      <c r="A57" s="31" t="s">
        <v>26</v>
      </c>
      <c r="B57" s="40" t="s">
        <v>181</v>
      </c>
      <c r="C57" s="81">
        <v>1722</v>
      </c>
      <c r="D57" s="85">
        <f>C57</f>
        <v>1722</v>
      </c>
      <c r="E57" s="96" t="str">
        <f t="shared" si="0"/>
        <v>-</v>
      </c>
      <c r="F57" s="100">
        <f t="shared" si="1"/>
        <v>1</v>
      </c>
    </row>
    <row r="58" spans="1:6" ht="28.5" customHeight="1">
      <c r="A58" s="31" t="s">
        <v>27</v>
      </c>
      <c r="B58" s="40" t="s">
        <v>28</v>
      </c>
      <c r="C58" s="81">
        <v>278</v>
      </c>
      <c r="D58" s="85">
        <f>C58</f>
        <v>278</v>
      </c>
      <c r="E58" s="96" t="str">
        <f t="shared" si="0"/>
        <v>-</v>
      </c>
      <c r="F58" s="97">
        <f t="shared" si="1"/>
        <v>1</v>
      </c>
    </row>
    <row r="59" spans="1:6" s="3" customFormat="1" ht="30" customHeight="1">
      <c r="A59" s="33" t="s">
        <v>29</v>
      </c>
      <c r="B59" s="45" t="s">
        <v>182</v>
      </c>
      <c r="C59" s="27">
        <f>C60+C61+C62+C63</f>
        <v>28948</v>
      </c>
      <c r="D59" s="27">
        <f>D60+D61+D62+D63</f>
        <v>28943</v>
      </c>
      <c r="E59" s="13">
        <f t="shared" si="0"/>
        <v>-5</v>
      </c>
      <c r="F59" s="101">
        <f t="shared" si="1"/>
        <v>0.9998</v>
      </c>
    </row>
    <row r="60" spans="1:6" ht="42" customHeight="1">
      <c r="A60" s="31" t="s">
        <v>102</v>
      </c>
      <c r="B60" s="40" t="s">
        <v>124</v>
      </c>
      <c r="C60" s="81">
        <v>5</v>
      </c>
      <c r="D60" s="85">
        <f>C60-5</f>
        <v>0</v>
      </c>
      <c r="E60" s="77">
        <f t="shared" si="0"/>
        <v>-5</v>
      </c>
      <c r="F60" s="97">
        <f t="shared" si="1"/>
        <v>0</v>
      </c>
    </row>
    <row r="61" spans="1:6" ht="31.5" customHeight="1">
      <c r="A61" s="31" t="s">
        <v>30</v>
      </c>
      <c r="B61" s="40" t="s">
        <v>56</v>
      </c>
      <c r="C61" s="81">
        <v>27443</v>
      </c>
      <c r="D61" s="85">
        <f>C61</f>
        <v>27443</v>
      </c>
      <c r="E61" s="77" t="str">
        <f t="shared" si="0"/>
        <v>-</v>
      </c>
      <c r="F61" s="97">
        <f t="shared" si="1"/>
        <v>1</v>
      </c>
    </row>
    <row r="62" spans="1:6" ht="31.5" customHeight="1">
      <c r="A62" s="31" t="s">
        <v>31</v>
      </c>
      <c r="B62" s="40" t="s">
        <v>104</v>
      </c>
      <c r="C62" s="81">
        <v>0</v>
      </c>
      <c r="D62" s="85">
        <f>C62</f>
        <v>0</v>
      </c>
      <c r="E62" s="77" t="str">
        <f t="shared" si="0"/>
        <v>-</v>
      </c>
      <c r="F62" s="97" t="str">
        <f t="shared" si="1"/>
        <v>-</v>
      </c>
    </row>
    <row r="63" spans="1:6" ht="31.5" customHeight="1">
      <c r="A63" s="31" t="s">
        <v>103</v>
      </c>
      <c r="B63" s="40" t="s">
        <v>105</v>
      </c>
      <c r="C63" s="81">
        <v>1500</v>
      </c>
      <c r="D63" s="85">
        <f>C63</f>
        <v>1500</v>
      </c>
      <c r="E63" s="77" t="str">
        <f t="shared" si="0"/>
        <v>-</v>
      </c>
      <c r="F63" s="97">
        <f t="shared" si="1"/>
        <v>1</v>
      </c>
    </row>
    <row r="64" spans="1:6" ht="32.25" customHeight="1">
      <c r="A64" s="33" t="s">
        <v>110</v>
      </c>
      <c r="B64" s="45" t="s">
        <v>129</v>
      </c>
      <c r="C64" s="27">
        <v>594</v>
      </c>
      <c r="D64" s="27">
        <f>C64</f>
        <v>594</v>
      </c>
      <c r="E64" s="13" t="str">
        <f t="shared" si="0"/>
        <v>-</v>
      </c>
      <c r="F64" s="101">
        <f t="shared" si="1"/>
        <v>1</v>
      </c>
    </row>
  </sheetData>
  <sheetProtection formatCells="0" formatColumns="0" formatRows="0" insertColumns="0" insertRows="0" insertHyperlinks="0" deleteColumns="0" deleteRows="0"/>
  <mergeCells count="7">
    <mergeCell ref="F4:F5"/>
    <mergeCell ref="A1:F1"/>
    <mergeCell ref="A4:A5"/>
    <mergeCell ref="B4:B5"/>
    <mergeCell ref="C4:C5"/>
    <mergeCell ref="D4:D5"/>
    <mergeCell ref="E4:E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8" r:id="rId1"/>
  <headerFooter alignWithMargins="0">
    <oddFooter>&amp;R&amp;20&amp;P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showGridLines="0" view="pageBreakPreview" zoomScale="55" zoomScaleNormal="70" zoomScaleSheetLayoutView="55" zoomScalePageLayoutView="0" workbookViewId="0" topLeftCell="A1">
      <pane xSplit="2" ySplit="7" topLeftCell="C44" activePane="bottomRight" state="frozen"/>
      <selection pane="topLeft" activeCell="G1" sqref="G1:S65536"/>
      <selection pane="topRight" activeCell="G1" sqref="G1:S65536"/>
      <selection pane="bottomLeft" activeCell="G1" sqref="G1:S65536"/>
      <selection pane="bottomRight" activeCell="G1" sqref="G1:S65536"/>
    </sheetView>
  </sheetViews>
  <sheetFormatPr defaultColWidth="9.00390625" defaultRowHeight="12.75"/>
  <cols>
    <col min="1" max="1" width="9.125" style="2" customWidth="1"/>
    <col min="2" max="2" width="125.875" style="2" customWidth="1"/>
    <col min="3" max="3" width="25.75390625" style="2" customWidth="1"/>
    <col min="4" max="4" width="26.875" style="2" customWidth="1"/>
    <col min="5" max="5" width="25.125" style="2" customWidth="1"/>
    <col min="6" max="6" width="23.00390625" style="2" customWidth="1"/>
    <col min="7" max="16384" width="9.125" style="2" customWidth="1"/>
  </cols>
  <sheetData>
    <row r="1" spans="1:6" s="48" customFormat="1" ht="38.25" customHeight="1">
      <c r="A1" s="152" t="str">
        <f>NFZ!A1</f>
        <v>ZMIANA PLANU NARODOWEGO FUNDUSZU ZDROWIA NA 2014 R. Z DNIA 30 GRUDNIA 2014 R.</v>
      </c>
      <c r="B1" s="152"/>
      <c r="C1" s="152"/>
      <c r="D1" s="152"/>
      <c r="E1" s="152"/>
      <c r="F1" s="152"/>
    </row>
    <row r="2" spans="1:3" s="50" customFormat="1" ht="33" customHeight="1">
      <c r="A2" s="88" t="s">
        <v>65</v>
      </c>
      <c r="B2" s="88"/>
      <c r="C2" s="94"/>
    </row>
    <row r="3" spans="1:6" ht="33" customHeight="1">
      <c r="A3" s="8"/>
      <c r="B3" s="9"/>
      <c r="C3" s="87"/>
      <c r="D3" s="87"/>
      <c r="E3" s="87" t="s">
        <v>159</v>
      </c>
      <c r="F3" s="10"/>
    </row>
    <row r="4" spans="1:6" s="6" customFormat="1" ht="45" customHeight="1">
      <c r="A4" s="149" t="s">
        <v>132</v>
      </c>
      <c r="B4" s="149" t="s">
        <v>55</v>
      </c>
      <c r="C4" s="150" t="s">
        <v>236</v>
      </c>
      <c r="D4" s="150" t="s">
        <v>191</v>
      </c>
      <c r="E4" s="153" t="s">
        <v>192</v>
      </c>
      <c r="F4" s="153" t="s">
        <v>193</v>
      </c>
    </row>
    <row r="5" spans="1:6" s="6" customFormat="1" ht="45" customHeight="1">
      <c r="A5" s="149"/>
      <c r="B5" s="149"/>
      <c r="C5" s="151"/>
      <c r="D5" s="151"/>
      <c r="E5" s="153"/>
      <c r="F5" s="153"/>
    </row>
    <row r="6" spans="1:6" s="4" customFormat="1" ht="14.25">
      <c r="A6" s="47">
        <v>1</v>
      </c>
      <c r="B6" s="52">
        <v>2</v>
      </c>
      <c r="C6" s="47">
        <v>3</v>
      </c>
      <c r="D6" s="52">
        <v>4</v>
      </c>
      <c r="E6" s="47">
        <v>5</v>
      </c>
      <c r="F6" s="52">
        <v>6</v>
      </c>
    </row>
    <row r="7" spans="1:6" s="3" customFormat="1" ht="30" customHeight="1">
      <c r="A7" s="23" t="s">
        <v>0</v>
      </c>
      <c r="B7" s="39" t="s">
        <v>248</v>
      </c>
      <c r="C7" s="16">
        <f>C8+C9+C10+C15+C16+C17+C18+C19+C20+C21+C22+C23+C24+C25+C29+C30+C32+C33</f>
        <v>1687201</v>
      </c>
      <c r="D7" s="16">
        <f>D8+D9+D10+D15+D16+D17+D18+D19+D20+D21+D22+D23+D24+D25+D29+D30+D32+D33</f>
        <v>1688938</v>
      </c>
      <c r="E7" s="13">
        <f>IF(C7=D7,"-",D7-C7)</f>
        <v>1737</v>
      </c>
      <c r="F7" s="95">
        <f>IF(C7=0,"-",D7/C7)</f>
        <v>1.001</v>
      </c>
    </row>
    <row r="8" spans="1:6" ht="33" customHeight="1">
      <c r="A8" s="29" t="s">
        <v>1</v>
      </c>
      <c r="B8" s="35" t="s">
        <v>133</v>
      </c>
      <c r="C8" s="81">
        <v>208150</v>
      </c>
      <c r="D8" s="25">
        <f>C8</f>
        <v>208150</v>
      </c>
      <c r="E8" s="96" t="str">
        <f aca="true" t="shared" si="0" ref="E8:E64">IF(C8=D8,"-",D8-C8)</f>
        <v>-</v>
      </c>
      <c r="F8" s="97">
        <f aca="true" t="shared" si="1" ref="F8:F64">IF(C8=0,"-",D8/C8)</f>
        <v>1</v>
      </c>
    </row>
    <row r="9" spans="1:6" ht="33" customHeight="1">
      <c r="A9" s="29" t="s">
        <v>2</v>
      </c>
      <c r="B9" s="35" t="s">
        <v>134</v>
      </c>
      <c r="C9" s="81">
        <v>159286</v>
      </c>
      <c r="D9" s="25">
        <f aca="true" t="shared" si="2" ref="D9:D34">C9</f>
        <v>159286</v>
      </c>
      <c r="E9" s="96" t="str">
        <f t="shared" si="0"/>
        <v>-</v>
      </c>
      <c r="F9" s="97">
        <f t="shared" si="1"/>
        <v>1</v>
      </c>
    </row>
    <row r="10" spans="1:6" ht="33" customHeight="1">
      <c r="A10" s="29" t="s">
        <v>3</v>
      </c>
      <c r="B10" s="35" t="s">
        <v>131</v>
      </c>
      <c r="C10" s="81">
        <v>814903</v>
      </c>
      <c r="D10" s="25">
        <f>C10+1737</f>
        <v>816640</v>
      </c>
      <c r="E10" s="96">
        <f t="shared" si="0"/>
        <v>1737</v>
      </c>
      <c r="F10" s="97">
        <f t="shared" si="1"/>
        <v>1.0021</v>
      </c>
    </row>
    <row r="11" spans="1:6" ht="31.5" customHeight="1">
      <c r="A11" s="28" t="s">
        <v>57</v>
      </c>
      <c r="B11" s="34" t="s">
        <v>160</v>
      </c>
      <c r="C11" s="81">
        <v>60221</v>
      </c>
      <c r="D11" s="25">
        <f t="shared" si="2"/>
        <v>60221</v>
      </c>
      <c r="E11" s="96" t="str">
        <f t="shared" si="0"/>
        <v>-</v>
      </c>
      <c r="F11" s="97">
        <f t="shared" si="1"/>
        <v>1</v>
      </c>
    </row>
    <row r="12" spans="1:6" ht="31.5" customHeight="1">
      <c r="A12" s="28" t="s">
        <v>161</v>
      </c>
      <c r="B12" s="34" t="s">
        <v>164</v>
      </c>
      <c r="C12" s="81">
        <v>54502</v>
      </c>
      <c r="D12" s="25">
        <f t="shared" si="2"/>
        <v>54502</v>
      </c>
      <c r="E12" s="96" t="str">
        <f t="shared" si="0"/>
        <v>-</v>
      </c>
      <c r="F12" s="97">
        <f t="shared" si="1"/>
        <v>1</v>
      </c>
    </row>
    <row r="13" spans="1:6" ht="31.5" customHeight="1">
      <c r="A13" s="28" t="s">
        <v>162</v>
      </c>
      <c r="B13" s="34" t="s">
        <v>165</v>
      </c>
      <c r="C13" s="81">
        <v>38580</v>
      </c>
      <c r="D13" s="25">
        <f t="shared" si="2"/>
        <v>38580</v>
      </c>
      <c r="E13" s="96" t="str">
        <f t="shared" si="0"/>
        <v>-</v>
      </c>
      <c r="F13" s="97">
        <f t="shared" si="1"/>
        <v>1</v>
      </c>
    </row>
    <row r="14" spans="1:6" ht="31.5" customHeight="1">
      <c r="A14" s="28" t="s">
        <v>163</v>
      </c>
      <c r="B14" s="34" t="s">
        <v>166</v>
      </c>
      <c r="C14" s="81">
        <v>11501</v>
      </c>
      <c r="D14" s="25">
        <f t="shared" si="2"/>
        <v>11501</v>
      </c>
      <c r="E14" s="96" t="str">
        <f t="shared" si="0"/>
        <v>-</v>
      </c>
      <c r="F14" s="97">
        <f t="shared" si="1"/>
        <v>1</v>
      </c>
    </row>
    <row r="15" spans="1:6" ht="33" customHeight="1">
      <c r="A15" s="29" t="s">
        <v>4</v>
      </c>
      <c r="B15" s="35" t="s">
        <v>139</v>
      </c>
      <c r="C15" s="81">
        <v>85984</v>
      </c>
      <c r="D15" s="25">
        <f t="shared" si="2"/>
        <v>85984</v>
      </c>
      <c r="E15" s="96" t="str">
        <f t="shared" si="0"/>
        <v>-</v>
      </c>
      <c r="F15" s="97">
        <f t="shared" si="1"/>
        <v>1</v>
      </c>
    </row>
    <row r="16" spans="1:6" ht="33" customHeight="1">
      <c r="A16" s="29" t="s">
        <v>5</v>
      </c>
      <c r="B16" s="35" t="s">
        <v>135</v>
      </c>
      <c r="C16" s="81">
        <v>52539</v>
      </c>
      <c r="D16" s="25">
        <f t="shared" si="2"/>
        <v>52539</v>
      </c>
      <c r="E16" s="96" t="str">
        <f t="shared" si="0"/>
        <v>-</v>
      </c>
      <c r="F16" s="97">
        <f t="shared" si="1"/>
        <v>1</v>
      </c>
    </row>
    <row r="17" spans="1:6" ht="33" customHeight="1">
      <c r="A17" s="29" t="s">
        <v>6</v>
      </c>
      <c r="B17" s="35" t="s">
        <v>141</v>
      </c>
      <c r="C17" s="81">
        <v>22099</v>
      </c>
      <c r="D17" s="25">
        <f t="shared" si="2"/>
        <v>22099</v>
      </c>
      <c r="E17" s="96" t="str">
        <f t="shared" si="0"/>
        <v>-</v>
      </c>
      <c r="F17" s="97">
        <f t="shared" si="1"/>
        <v>1</v>
      </c>
    </row>
    <row r="18" spans="1:6" ht="33" customHeight="1">
      <c r="A18" s="29" t="s">
        <v>7</v>
      </c>
      <c r="B18" s="35" t="s">
        <v>140</v>
      </c>
      <c r="C18" s="81">
        <v>10006</v>
      </c>
      <c r="D18" s="25">
        <f t="shared" si="2"/>
        <v>10006</v>
      </c>
      <c r="E18" s="96" t="str">
        <f t="shared" si="0"/>
        <v>-</v>
      </c>
      <c r="F18" s="97">
        <f t="shared" si="1"/>
        <v>1</v>
      </c>
    </row>
    <row r="19" spans="1:6" ht="33" customHeight="1">
      <c r="A19" s="29" t="s">
        <v>8</v>
      </c>
      <c r="B19" s="35" t="s">
        <v>136</v>
      </c>
      <c r="C19" s="81">
        <v>42848</v>
      </c>
      <c r="D19" s="25">
        <f t="shared" si="2"/>
        <v>42848</v>
      </c>
      <c r="E19" s="96" t="str">
        <f t="shared" si="0"/>
        <v>-</v>
      </c>
      <c r="F19" s="97">
        <f t="shared" si="1"/>
        <v>1</v>
      </c>
    </row>
    <row r="20" spans="1:6" ht="33" customHeight="1">
      <c r="A20" s="29" t="s">
        <v>9</v>
      </c>
      <c r="B20" s="35" t="s">
        <v>137</v>
      </c>
      <c r="C20" s="81">
        <v>13700</v>
      </c>
      <c r="D20" s="25">
        <f t="shared" si="2"/>
        <v>13700</v>
      </c>
      <c r="E20" s="96" t="str">
        <f t="shared" si="0"/>
        <v>-</v>
      </c>
      <c r="F20" s="97">
        <f t="shared" si="1"/>
        <v>1</v>
      </c>
    </row>
    <row r="21" spans="1:6" ht="33" customHeight="1">
      <c r="A21" s="29" t="s">
        <v>10</v>
      </c>
      <c r="B21" s="35" t="s">
        <v>142</v>
      </c>
      <c r="C21" s="81">
        <v>1927</v>
      </c>
      <c r="D21" s="25">
        <f t="shared" si="2"/>
        <v>1927</v>
      </c>
      <c r="E21" s="96" t="str">
        <f t="shared" si="0"/>
        <v>-</v>
      </c>
      <c r="F21" s="97">
        <f t="shared" si="1"/>
        <v>1</v>
      </c>
    </row>
    <row r="22" spans="1:6" ht="46.5" customHeight="1">
      <c r="A22" s="29" t="s">
        <v>11</v>
      </c>
      <c r="B22" s="35" t="s">
        <v>138</v>
      </c>
      <c r="C22" s="81">
        <v>5431</v>
      </c>
      <c r="D22" s="25">
        <f t="shared" si="2"/>
        <v>5431</v>
      </c>
      <c r="E22" s="96" t="str">
        <f t="shared" si="0"/>
        <v>-</v>
      </c>
      <c r="F22" s="97">
        <f t="shared" si="1"/>
        <v>1</v>
      </c>
    </row>
    <row r="23" spans="1:6" ht="33" customHeight="1">
      <c r="A23" s="29" t="s">
        <v>12</v>
      </c>
      <c r="B23" s="35" t="s">
        <v>185</v>
      </c>
      <c r="C23" s="81">
        <v>44699</v>
      </c>
      <c r="D23" s="25">
        <f t="shared" si="2"/>
        <v>44699</v>
      </c>
      <c r="E23" s="96" t="str">
        <f t="shared" si="0"/>
        <v>-</v>
      </c>
      <c r="F23" s="97">
        <f t="shared" si="1"/>
        <v>1</v>
      </c>
    </row>
    <row r="24" spans="1:6" ht="33" customHeight="1">
      <c r="A24" s="29" t="s">
        <v>13</v>
      </c>
      <c r="B24" s="35" t="s">
        <v>167</v>
      </c>
      <c r="C24" s="81">
        <v>26000</v>
      </c>
      <c r="D24" s="25">
        <f t="shared" si="2"/>
        <v>26000</v>
      </c>
      <c r="E24" s="96" t="str">
        <f t="shared" si="0"/>
        <v>-</v>
      </c>
      <c r="F24" s="97">
        <f t="shared" si="1"/>
        <v>1</v>
      </c>
    </row>
    <row r="25" spans="1:6" ht="33" customHeight="1">
      <c r="A25" s="30" t="s">
        <v>14</v>
      </c>
      <c r="B25" s="78" t="s">
        <v>249</v>
      </c>
      <c r="C25" s="25">
        <f>SUM(C26:C28)</f>
        <v>188461</v>
      </c>
      <c r="D25" s="25">
        <f>SUM(D26:D28)</f>
        <v>188461</v>
      </c>
      <c r="E25" s="96" t="str">
        <f t="shared" si="0"/>
        <v>-</v>
      </c>
      <c r="F25" s="97">
        <f t="shared" si="1"/>
        <v>1</v>
      </c>
    </row>
    <row r="26" spans="1:6" ht="31.5">
      <c r="A26" s="28" t="s">
        <v>143</v>
      </c>
      <c r="B26" s="34" t="s">
        <v>170</v>
      </c>
      <c r="C26" s="81">
        <v>188161</v>
      </c>
      <c r="D26" s="25">
        <f t="shared" si="2"/>
        <v>188161</v>
      </c>
      <c r="E26" s="96" t="str">
        <f t="shared" si="0"/>
        <v>-</v>
      </c>
      <c r="F26" s="97">
        <f t="shared" si="1"/>
        <v>1</v>
      </c>
    </row>
    <row r="27" spans="1:6" ht="31.5" customHeight="1">
      <c r="A27" s="28" t="s">
        <v>169</v>
      </c>
      <c r="B27" s="34" t="s">
        <v>172</v>
      </c>
      <c r="C27" s="81">
        <v>200</v>
      </c>
      <c r="D27" s="25">
        <f t="shared" si="2"/>
        <v>200</v>
      </c>
      <c r="E27" s="96" t="str">
        <f t="shared" si="0"/>
        <v>-</v>
      </c>
      <c r="F27" s="97">
        <f t="shared" si="1"/>
        <v>1</v>
      </c>
    </row>
    <row r="28" spans="1:6" ht="31.5" customHeight="1">
      <c r="A28" s="28" t="s">
        <v>173</v>
      </c>
      <c r="B28" s="34" t="s">
        <v>171</v>
      </c>
      <c r="C28" s="81">
        <v>100</v>
      </c>
      <c r="D28" s="25">
        <f t="shared" si="2"/>
        <v>100</v>
      </c>
      <c r="E28" s="96" t="str">
        <f t="shared" si="0"/>
        <v>-</v>
      </c>
      <c r="F28" s="97">
        <f t="shared" si="1"/>
        <v>1</v>
      </c>
    </row>
    <row r="29" spans="1:6" ht="33" customHeight="1">
      <c r="A29" s="31" t="s">
        <v>15</v>
      </c>
      <c r="B29" s="36" t="s">
        <v>122</v>
      </c>
      <c r="C29" s="81">
        <v>0</v>
      </c>
      <c r="D29" s="25">
        <f t="shared" si="2"/>
        <v>0</v>
      </c>
      <c r="E29" s="96" t="str">
        <f t="shared" si="0"/>
        <v>-</v>
      </c>
      <c r="F29" s="97" t="str">
        <f t="shared" si="1"/>
        <v>-</v>
      </c>
    </row>
    <row r="30" spans="1:6" ht="33" customHeight="1">
      <c r="A30" s="31" t="s">
        <v>119</v>
      </c>
      <c r="B30" s="37" t="s">
        <v>174</v>
      </c>
      <c r="C30" s="81">
        <v>0</v>
      </c>
      <c r="D30" s="25">
        <f t="shared" si="2"/>
        <v>0</v>
      </c>
      <c r="E30" s="96" t="str">
        <f t="shared" si="0"/>
        <v>-</v>
      </c>
      <c r="F30" s="97" t="str">
        <f t="shared" si="1"/>
        <v>-</v>
      </c>
    </row>
    <row r="31" spans="1:6" ht="31.5" customHeight="1">
      <c r="A31" s="28" t="s">
        <v>175</v>
      </c>
      <c r="B31" s="34" t="s">
        <v>187</v>
      </c>
      <c r="C31" s="81">
        <v>0</v>
      </c>
      <c r="D31" s="25">
        <f t="shared" si="2"/>
        <v>0</v>
      </c>
      <c r="E31" s="96" t="str">
        <f t="shared" si="0"/>
        <v>-</v>
      </c>
      <c r="F31" s="97" t="str">
        <f t="shared" si="1"/>
        <v>-</v>
      </c>
    </row>
    <row r="32" spans="1:6" ht="33" customHeight="1">
      <c r="A32" s="31" t="s">
        <v>120</v>
      </c>
      <c r="B32" s="37" t="s">
        <v>123</v>
      </c>
      <c r="C32" s="81">
        <v>0</v>
      </c>
      <c r="D32" s="25">
        <f t="shared" si="2"/>
        <v>0</v>
      </c>
      <c r="E32" s="96" t="str">
        <f t="shared" si="0"/>
        <v>-</v>
      </c>
      <c r="F32" s="97" t="str">
        <f t="shared" si="1"/>
        <v>-</v>
      </c>
    </row>
    <row r="33" spans="1:6" ht="33" customHeight="1">
      <c r="A33" s="31" t="s">
        <v>121</v>
      </c>
      <c r="B33" s="37" t="s">
        <v>186</v>
      </c>
      <c r="C33" s="81">
        <v>11168</v>
      </c>
      <c r="D33" s="25">
        <f t="shared" si="2"/>
        <v>11168</v>
      </c>
      <c r="E33" s="96" t="str">
        <f t="shared" si="0"/>
        <v>-</v>
      </c>
      <c r="F33" s="97">
        <f t="shared" si="1"/>
        <v>1</v>
      </c>
    </row>
    <row r="34" spans="1:6" ht="51.75" customHeight="1">
      <c r="A34" s="31" t="s">
        <v>246</v>
      </c>
      <c r="B34" s="37" t="s">
        <v>247</v>
      </c>
      <c r="C34" s="81">
        <v>0</v>
      </c>
      <c r="D34" s="25">
        <f t="shared" si="2"/>
        <v>0</v>
      </c>
      <c r="E34" s="96" t="str">
        <f>IF(C34=D34,"-",D34-C34)</f>
        <v>-</v>
      </c>
      <c r="F34" s="97" t="str">
        <f>IF(C34=0,"-",D34/C34)</f>
        <v>-</v>
      </c>
    </row>
    <row r="35" spans="1:6" s="5" customFormat="1" ht="31.5" customHeight="1">
      <c r="A35" s="32" t="s">
        <v>59</v>
      </c>
      <c r="B35" s="38" t="s">
        <v>60</v>
      </c>
      <c r="C35" s="84">
        <v>0</v>
      </c>
      <c r="D35" s="136">
        <f>C35</f>
        <v>0</v>
      </c>
      <c r="E35" s="15" t="str">
        <f t="shared" si="0"/>
        <v>-</v>
      </c>
      <c r="F35" s="98" t="str">
        <f t="shared" si="1"/>
        <v>-</v>
      </c>
    </row>
    <row r="36" spans="1:6" s="5" customFormat="1" ht="31.5" customHeight="1">
      <c r="A36" s="32" t="s">
        <v>58</v>
      </c>
      <c r="B36" s="38" t="s">
        <v>61</v>
      </c>
      <c r="C36" s="84">
        <v>65344</v>
      </c>
      <c r="D36" s="93">
        <f>C36</f>
        <v>65344</v>
      </c>
      <c r="E36" s="15" t="str">
        <f t="shared" si="0"/>
        <v>-</v>
      </c>
      <c r="F36" s="98">
        <f t="shared" si="1"/>
        <v>1</v>
      </c>
    </row>
    <row r="37" spans="1:6" s="5" customFormat="1" ht="42.75" customHeight="1">
      <c r="A37" s="32" t="s">
        <v>176</v>
      </c>
      <c r="B37" s="38" t="s">
        <v>177</v>
      </c>
      <c r="C37" s="84">
        <v>254464</v>
      </c>
      <c r="D37" s="84">
        <f>D12+D14+D25+D31</f>
        <v>254464</v>
      </c>
      <c r="E37" s="15" t="str">
        <f t="shared" si="0"/>
        <v>-</v>
      </c>
      <c r="F37" s="98">
        <f t="shared" si="1"/>
        <v>1</v>
      </c>
    </row>
    <row r="38" spans="1:6" s="3" customFormat="1" ht="30" customHeight="1">
      <c r="A38" s="26" t="s">
        <v>16</v>
      </c>
      <c r="B38" s="46" t="s">
        <v>250</v>
      </c>
      <c r="C38" s="24">
        <f>C39+C40+C41+C49+C51+C57+C58+C56</f>
        <v>15942</v>
      </c>
      <c r="D38" s="24">
        <f>D39+D40+D41+D49+D51+D57+D58+D56</f>
        <v>15942</v>
      </c>
      <c r="E38" s="13" t="str">
        <f t="shared" si="0"/>
        <v>-</v>
      </c>
      <c r="F38" s="99">
        <f t="shared" si="1"/>
        <v>1</v>
      </c>
    </row>
    <row r="39" spans="1:6" ht="28.5" customHeight="1">
      <c r="A39" s="31" t="s">
        <v>17</v>
      </c>
      <c r="B39" s="40" t="s">
        <v>18</v>
      </c>
      <c r="C39" s="81">
        <v>704</v>
      </c>
      <c r="D39" s="85">
        <f>C39</f>
        <v>704</v>
      </c>
      <c r="E39" s="96" t="str">
        <f t="shared" si="0"/>
        <v>-</v>
      </c>
      <c r="F39" s="97">
        <f t="shared" si="1"/>
        <v>1</v>
      </c>
    </row>
    <row r="40" spans="1:6" ht="28.5" customHeight="1">
      <c r="A40" s="31" t="s">
        <v>19</v>
      </c>
      <c r="B40" s="40" t="s">
        <v>20</v>
      </c>
      <c r="C40" s="81">
        <v>2676</v>
      </c>
      <c r="D40" s="85">
        <f>C40</f>
        <v>2676</v>
      </c>
      <c r="E40" s="96" t="str">
        <f t="shared" si="0"/>
        <v>-</v>
      </c>
      <c r="F40" s="97">
        <f t="shared" si="1"/>
        <v>1</v>
      </c>
    </row>
    <row r="41" spans="1:6" ht="28.5" customHeight="1">
      <c r="A41" s="31" t="s">
        <v>21</v>
      </c>
      <c r="B41" s="41" t="s">
        <v>251</v>
      </c>
      <c r="C41" s="85">
        <f>C42+C44+C45+C46+C47+C48</f>
        <v>168</v>
      </c>
      <c r="D41" s="85">
        <f>D42+D44+D45+D46+D47+D48</f>
        <v>168</v>
      </c>
      <c r="E41" s="96" t="str">
        <f t="shared" si="0"/>
        <v>-</v>
      </c>
      <c r="F41" s="97">
        <f t="shared" si="1"/>
        <v>1</v>
      </c>
    </row>
    <row r="42" spans="1:6" ht="28.5" customHeight="1">
      <c r="A42" s="42" t="s">
        <v>39</v>
      </c>
      <c r="B42" s="43" t="s">
        <v>32</v>
      </c>
      <c r="C42" s="81">
        <v>30</v>
      </c>
      <c r="D42" s="85">
        <f>C42</f>
        <v>30</v>
      </c>
      <c r="E42" s="96" t="str">
        <f t="shared" si="0"/>
        <v>-</v>
      </c>
      <c r="F42" s="97">
        <f t="shared" si="1"/>
        <v>1</v>
      </c>
    </row>
    <row r="43" spans="1:6" ht="28.5" customHeight="1">
      <c r="A43" s="42" t="s">
        <v>40</v>
      </c>
      <c r="B43" s="44" t="s">
        <v>33</v>
      </c>
      <c r="C43" s="81">
        <v>30</v>
      </c>
      <c r="D43" s="85">
        <f aca="true" t="shared" si="3" ref="D43:D55">C43</f>
        <v>30</v>
      </c>
      <c r="E43" s="96" t="str">
        <f t="shared" si="0"/>
        <v>-</v>
      </c>
      <c r="F43" s="97">
        <f t="shared" si="1"/>
        <v>1</v>
      </c>
    </row>
    <row r="44" spans="1:6" ht="28.5" customHeight="1">
      <c r="A44" s="42" t="s">
        <v>41</v>
      </c>
      <c r="B44" s="43" t="s">
        <v>34</v>
      </c>
      <c r="C44" s="81">
        <v>0</v>
      </c>
      <c r="D44" s="85">
        <f t="shared" si="3"/>
        <v>0</v>
      </c>
      <c r="E44" s="96" t="str">
        <f t="shared" si="0"/>
        <v>-</v>
      </c>
      <c r="F44" s="97" t="str">
        <f t="shared" si="1"/>
        <v>-</v>
      </c>
    </row>
    <row r="45" spans="1:6" ht="28.5" customHeight="1">
      <c r="A45" s="42" t="s">
        <v>42</v>
      </c>
      <c r="B45" s="43" t="s">
        <v>35</v>
      </c>
      <c r="C45" s="81">
        <v>0</v>
      </c>
      <c r="D45" s="85">
        <f t="shared" si="3"/>
        <v>0</v>
      </c>
      <c r="E45" s="96" t="str">
        <f t="shared" si="0"/>
        <v>-</v>
      </c>
      <c r="F45" s="97" t="str">
        <f t="shared" si="1"/>
        <v>-</v>
      </c>
    </row>
    <row r="46" spans="1:6" ht="28.5" customHeight="1">
      <c r="A46" s="42" t="s">
        <v>43</v>
      </c>
      <c r="B46" s="43" t="s">
        <v>36</v>
      </c>
      <c r="C46" s="81">
        <v>0</v>
      </c>
      <c r="D46" s="85">
        <f t="shared" si="3"/>
        <v>0</v>
      </c>
      <c r="E46" s="96" t="str">
        <f t="shared" si="0"/>
        <v>-</v>
      </c>
      <c r="F46" s="97" t="str">
        <f t="shared" si="1"/>
        <v>-</v>
      </c>
    </row>
    <row r="47" spans="1:6" ht="28.5" customHeight="1">
      <c r="A47" s="42" t="s">
        <v>44</v>
      </c>
      <c r="B47" s="43" t="s">
        <v>37</v>
      </c>
      <c r="C47" s="81">
        <v>114</v>
      </c>
      <c r="D47" s="85">
        <f t="shared" si="3"/>
        <v>114</v>
      </c>
      <c r="E47" s="96" t="str">
        <f t="shared" si="0"/>
        <v>-</v>
      </c>
      <c r="F47" s="97">
        <f t="shared" si="1"/>
        <v>1</v>
      </c>
    </row>
    <row r="48" spans="1:6" ht="28.5" customHeight="1">
      <c r="A48" s="42" t="s">
        <v>45</v>
      </c>
      <c r="B48" s="43" t="s">
        <v>38</v>
      </c>
      <c r="C48" s="81">
        <v>24</v>
      </c>
      <c r="D48" s="85">
        <f>C48</f>
        <v>24</v>
      </c>
      <c r="E48" s="96" t="str">
        <f t="shared" si="0"/>
        <v>-</v>
      </c>
      <c r="F48" s="97">
        <f t="shared" si="1"/>
        <v>1</v>
      </c>
    </row>
    <row r="49" spans="1:6" ht="28.5" customHeight="1">
      <c r="A49" s="31" t="s">
        <v>22</v>
      </c>
      <c r="B49" s="40" t="s">
        <v>178</v>
      </c>
      <c r="C49" s="81">
        <v>8273</v>
      </c>
      <c r="D49" s="85">
        <f>C49</f>
        <v>8273</v>
      </c>
      <c r="E49" s="96" t="str">
        <f t="shared" si="0"/>
        <v>-</v>
      </c>
      <c r="F49" s="97">
        <f t="shared" si="1"/>
        <v>1</v>
      </c>
    </row>
    <row r="50" spans="1:6" ht="28.5" customHeight="1">
      <c r="A50" s="42" t="s">
        <v>179</v>
      </c>
      <c r="B50" s="43" t="s">
        <v>180</v>
      </c>
      <c r="C50" s="81">
        <v>43</v>
      </c>
      <c r="D50" s="85">
        <f>C50</f>
        <v>43</v>
      </c>
      <c r="E50" s="96" t="str">
        <f t="shared" si="0"/>
        <v>-</v>
      </c>
      <c r="F50" s="97">
        <f t="shared" si="1"/>
        <v>1</v>
      </c>
    </row>
    <row r="51" spans="1:6" ht="28.5" customHeight="1">
      <c r="A51" s="31" t="s">
        <v>23</v>
      </c>
      <c r="B51" s="41" t="s">
        <v>252</v>
      </c>
      <c r="C51" s="77">
        <f>C52+C53+C54+C55</f>
        <v>1836</v>
      </c>
      <c r="D51" s="77">
        <f>D52+D53+D54+D55</f>
        <v>1836</v>
      </c>
      <c r="E51" s="96" t="str">
        <f t="shared" si="0"/>
        <v>-</v>
      </c>
      <c r="F51" s="97">
        <f t="shared" si="1"/>
        <v>1</v>
      </c>
    </row>
    <row r="52" spans="1:6" ht="28.5" customHeight="1">
      <c r="A52" s="42" t="s">
        <v>50</v>
      </c>
      <c r="B52" s="43" t="s">
        <v>46</v>
      </c>
      <c r="C52" s="81">
        <v>1422</v>
      </c>
      <c r="D52" s="85">
        <f t="shared" si="3"/>
        <v>1422</v>
      </c>
      <c r="E52" s="96" t="str">
        <f t="shared" si="0"/>
        <v>-</v>
      </c>
      <c r="F52" s="97">
        <f t="shared" si="1"/>
        <v>1</v>
      </c>
    </row>
    <row r="53" spans="1:6" ht="28.5" customHeight="1">
      <c r="A53" s="42" t="s">
        <v>51</v>
      </c>
      <c r="B53" s="43" t="s">
        <v>47</v>
      </c>
      <c r="C53" s="81">
        <v>203</v>
      </c>
      <c r="D53" s="85">
        <f t="shared" si="3"/>
        <v>203</v>
      </c>
      <c r="E53" s="96" t="str">
        <f t="shared" si="0"/>
        <v>-</v>
      </c>
      <c r="F53" s="97">
        <f t="shared" si="1"/>
        <v>1</v>
      </c>
    </row>
    <row r="54" spans="1:6" ht="28.5" customHeight="1">
      <c r="A54" s="42" t="s">
        <v>52</v>
      </c>
      <c r="B54" s="43" t="s">
        <v>48</v>
      </c>
      <c r="C54" s="81">
        <v>0</v>
      </c>
      <c r="D54" s="85">
        <f t="shared" si="3"/>
        <v>0</v>
      </c>
      <c r="E54" s="96" t="str">
        <f t="shared" si="0"/>
        <v>-</v>
      </c>
      <c r="F54" s="97" t="str">
        <f t="shared" si="1"/>
        <v>-</v>
      </c>
    </row>
    <row r="55" spans="1:6" ht="28.5" customHeight="1">
      <c r="A55" s="42" t="s">
        <v>53</v>
      </c>
      <c r="B55" s="43" t="s">
        <v>49</v>
      </c>
      <c r="C55" s="81">
        <v>211</v>
      </c>
      <c r="D55" s="85">
        <f t="shared" si="3"/>
        <v>211</v>
      </c>
      <c r="E55" s="96" t="str">
        <f t="shared" si="0"/>
        <v>-</v>
      </c>
      <c r="F55" s="97">
        <f t="shared" si="1"/>
        <v>1</v>
      </c>
    </row>
    <row r="56" spans="1:6" ht="28.5" customHeight="1">
      <c r="A56" s="31" t="s">
        <v>24</v>
      </c>
      <c r="B56" s="40" t="s">
        <v>25</v>
      </c>
      <c r="C56" s="81">
        <v>0</v>
      </c>
      <c r="D56" s="85">
        <f>C56</f>
        <v>0</v>
      </c>
      <c r="E56" s="96" t="str">
        <f t="shared" si="0"/>
        <v>-</v>
      </c>
      <c r="F56" s="97" t="str">
        <f t="shared" si="1"/>
        <v>-</v>
      </c>
    </row>
    <row r="57" spans="1:6" ht="28.5" customHeight="1">
      <c r="A57" s="31" t="s">
        <v>26</v>
      </c>
      <c r="B57" s="40" t="s">
        <v>181</v>
      </c>
      <c r="C57" s="81">
        <v>2000</v>
      </c>
      <c r="D57" s="85">
        <f>C57</f>
        <v>2000</v>
      </c>
      <c r="E57" s="96" t="str">
        <f t="shared" si="0"/>
        <v>-</v>
      </c>
      <c r="F57" s="100">
        <f t="shared" si="1"/>
        <v>1</v>
      </c>
    </row>
    <row r="58" spans="1:6" ht="28.5" customHeight="1">
      <c r="A58" s="31" t="s">
        <v>27</v>
      </c>
      <c r="B58" s="40" t="s">
        <v>28</v>
      </c>
      <c r="C58" s="81">
        <v>285</v>
      </c>
      <c r="D58" s="85">
        <f>C58</f>
        <v>285</v>
      </c>
      <c r="E58" s="96" t="str">
        <f t="shared" si="0"/>
        <v>-</v>
      </c>
      <c r="F58" s="97">
        <f t="shared" si="1"/>
        <v>1</v>
      </c>
    </row>
    <row r="59" spans="1:6" s="3" customFormat="1" ht="30" customHeight="1">
      <c r="A59" s="33" t="s">
        <v>29</v>
      </c>
      <c r="B59" s="45" t="s">
        <v>182</v>
      </c>
      <c r="C59" s="27">
        <f>C60+C61+C62+C63</f>
        <v>4677</v>
      </c>
      <c r="D59" s="27">
        <f>D60+D61+D62+D63</f>
        <v>4100</v>
      </c>
      <c r="E59" s="13">
        <f t="shared" si="0"/>
        <v>-577</v>
      </c>
      <c r="F59" s="101">
        <f t="shared" si="1"/>
        <v>0.8766</v>
      </c>
    </row>
    <row r="60" spans="1:6" ht="42" customHeight="1">
      <c r="A60" s="31" t="s">
        <v>102</v>
      </c>
      <c r="B60" s="40" t="s">
        <v>124</v>
      </c>
      <c r="C60" s="81">
        <v>0</v>
      </c>
      <c r="D60" s="85">
        <f>C60</f>
        <v>0</v>
      </c>
      <c r="E60" s="77" t="str">
        <f t="shared" si="0"/>
        <v>-</v>
      </c>
      <c r="F60" s="97" t="str">
        <f t="shared" si="1"/>
        <v>-</v>
      </c>
    </row>
    <row r="61" spans="1:6" ht="31.5" customHeight="1">
      <c r="A61" s="31" t="s">
        <v>30</v>
      </c>
      <c r="B61" s="40" t="s">
        <v>56</v>
      </c>
      <c r="C61" s="81">
        <v>4127</v>
      </c>
      <c r="D61" s="85">
        <f>C61-527</f>
        <v>3600</v>
      </c>
      <c r="E61" s="77">
        <f t="shared" si="0"/>
        <v>-527</v>
      </c>
      <c r="F61" s="97">
        <f t="shared" si="1"/>
        <v>0.8723</v>
      </c>
    </row>
    <row r="62" spans="1:6" ht="31.5" customHeight="1">
      <c r="A62" s="31" t="s">
        <v>31</v>
      </c>
      <c r="B62" s="40" t="s">
        <v>104</v>
      </c>
      <c r="C62" s="81">
        <v>0</v>
      </c>
      <c r="D62" s="85">
        <f>C62</f>
        <v>0</v>
      </c>
      <c r="E62" s="77" t="str">
        <f t="shared" si="0"/>
        <v>-</v>
      </c>
      <c r="F62" s="97" t="str">
        <f t="shared" si="1"/>
        <v>-</v>
      </c>
    </row>
    <row r="63" spans="1:6" ht="31.5" customHeight="1">
      <c r="A63" s="31" t="s">
        <v>103</v>
      </c>
      <c r="B63" s="40" t="s">
        <v>105</v>
      </c>
      <c r="C63" s="81">
        <v>550</v>
      </c>
      <c r="D63" s="85">
        <f>C63-50</f>
        <v>500</v>
      </c>
      <c r="E63" s="77">
        <f t="shared" si="0"/>
        <v>-50</v>
      </c>
      <c r="F63" s="97">
        <f t="shared" si="1"/>
        <v>0.9091</v>
      </c>
    </row>
    <row r="64" spans="1:6" ht="32.25" customHeight="1">
      <c r="A64" s="33" t="s">
        <v>110</v>
      </c>
      <c r="B64" s="45" t="s">
        <v>129</v>
      </c>
      <c r="C64" s="27">
        <v>750</v>
      </c>
      <c r="D64" s="27">
        <f>C64+700</f>
        <v>1450</v>
      </c>
      <c r="E64" s="13">
        <f t="shared" si="0"/>
        <v>700</v>
      </c>
      <c r="F64" s="101">
        <f t="shared" si="1"/>
        <v>1.9333</v>
      </c>
    </row>
  </sheetData>
  <sheetProtection formatCells="0" formatColumns="0" formatRows="0" insertColumns="0" insertRows="0" insertHyperlinks="0" deleteColumns="0" deleteRows="0"/>
  <mergeCells count="7">
    <mergeCell ref="F4:F5"/>
    <mergeCell ref="A1:F1"/>
    <mergeCell ref="A4:A5"/>
    <mergeCell ref="B4:B5"/>
    <mergeCell ref="C4:C5"/>
    <mergeCell ref="D4:D5"/>
    <mergeCell ref="E4:E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8" r:id="rId1"/>
  <headerFooter alignWithMargins="0">
    <oddFooter>&amp;R&amp;20&amp;P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showGridLines="0" view="pageBreakPreview" zoomScale="55" zoomScaleNormal="70" zoomScaleSheetLayoutView="55" zoomScalePageLayoutView="0" workbookViewId="0" topLeftCell="A1">
      <pane xSplit="2" ySplit="7" topLeftCell="C53" activePane="bottomRight" state="frozen"/>
      <selection pane="topLeft" activeCell="G1" sqref="G1:S65536"/>
      <selection pane="topRight" activeCell="G1" sqref="G1:S65536"/>
      <selection pane="bottomLeft" activeCell="G1" sqref="G1:S65536"/>
      <selection pane="bottomRight" activeCell="G1" sqref="G1:S65536"/>
    </sheetView>
  </sheetViews>
  <sheetFormatPr defaultColWidth="9.00390625" defaultRowHeight="12.75"/>
  <cols>
    <col min="1" max="1" width="9.125" style="2" customWidth="1"/>
    <col min="2" max="2" width="125.875" style="2" customWidth="1"/>
    <col min="3" max="3" width="25.75390625" style="2" customWidth="1"/>
    <col min="4" max="4" width="26.875" style="2" customWidth="1"/>
    <col min="5" max="5" width="25.125" style="2" customWidth="1"/>
    <col min="6" max="6" width="20.75390625" style="2" customWidth="1"/>
    <col min="7" max="16384" width="9.125" style="2" customWidth="1"/>
  </cols>
  <sheetData>
    <row r="1" spans="1:6" s="48" customFormat="1" ht="38.25" customHeight="1">
      <c r="A1" s="152" t="str">
        <f>NFZ!A1</f>
        <v>ZMIANA PLANU NARODOWEGO FUNDUSZU ZDROWIA NA 2014 R. Z DNIA 30 GRUDNIA 2014 R.</v>
      </c>
      <c r="B1" s="152"/>
      <c r="C1" s="152"/>
      <c r="D1" s="152"/>
      <c r="E1" s="152"/>
      <c r="F1" s="152"/>
    </row>
    <row r="2" spans="1:3" s="50" customFormat="1" ht="33" customHeight="1">
      <c r="A2" s="88" t="s">
        <v>66</v>
      </c>
      <c r="B2" s="88"/>
      <c r="C2" s="94"/>
    </row>
    <row r="3" spans="1:6" ht="33" customHeight="1">
      <c r="A3" s="8"/>
      <c r="B3" s="9"/>
      <c r="C3" s="87"/>
      <c r="D3" s="87"/>
      <c r="E3" s="87" t="s">
        <v>159</v>
      </c>
      <c r="F3" s="10"/>
    </row>
    <row r="4" spans="1:6" s="6" customFormat="1" ht="45" customHeight="1">
      <c r="A4" s="149" t="s">
        <v>132</v>
      </c>
      <c r="B4" s="149" t="s">
        <v>55</v>
      </c>
      <c r="C4" s="150" t="s">
        <v>236</v>
      </c>
      <c r="D4" s="150" t="s">
        <v>191</v>
      </c>
      <c r="E4" s="153" t="s">
        <v>192</v>
      </c>
      <c r="F4" s="153" t="s">
        <v>193</v>
      </c>
    </row>
    <row r="5" spans="1:6" s="6" customFormat="1" ht="45" customHeight="1">
      <c r="A5" s="149"/>
      <c r="B5" s="149"/>
      <c r="C5" s="151"/>
      <c r="D5" s="151"/>
      <c r="E5" s="153"/>
      <c r="F5" s="153"/>
    </row>
    <row r="6" spans="1:6" s="4" customFormat="1" ht="14.25">
      <c r="A6" s="47">
        <v>1</v>
      </c>
      <c r="B6" s="52">
        <v>2</v>
      </c>
      <c r="C6" s="47">
        <v>3</v>
      </c>
      <c r="D6" s="52">
        <v>4</v>
      </c>
      <c r="E6" s="47">
        <v>5</v>
      </c>
      <c r="F6" s="52">
        <v>6</v>
      </c>
    </row>
    <row r="7" spans="1:6" s="3" customFormat="1" ht="30" customHeight="1">
      <c r="A7" s="23" t="s">
        <v>0</v>
      </c>
      <c r="B7" s="39" t="s">
        <v>248</v>
      </c>
      <c r="C7" s="16">
        <f>C8+C9+C10+C15+C16+C17+C18+C19+C20+C21+C22+C23+C24+C25+C29+C30+C32+C33</f>
        <v>4322152</v>
      </c>
      <c r="D7" s="16">
        <f>D8+D9+D10+D15+D16+D17+D18+D19+D20+D21+D22+D23+D24+D25+D29+D30+D32+D33</f>
        <v>4326729</v>
      </c>
      <c r="E7" s="13">
        <f>IF(C7=D7,"-",D7-C7)</f>
        <v>4577</v>
      </c>
      <c r="F7" s="95">
        <f>IF(C7=0,"-",D7/C7)</f>
        <v>1.001</v>
      </c>
    </row>
    <row r="8" spans="1:6" ht="33" customHeight="1">
      <c r="A8" s="29" t="s">
        <v>1</v>
      </c>
      <c r="B8" s="35" t="s">
        <v>133</v>
      </c>
      <c r="C8" s="81">
        <v>517799</v>
      </c>
      <c r="D8" s="25">
        <f>C8</f>
        <v>517799</v>
      </c>
      <c r="E8" s="96" t="str">
        <f aca="true" t="shared" si="0" ref="E8:E64">IF(C8=D8,"-",D8-C8)</f>
        <v>-</v>
      </c>
      <c r="F8" s="97">
        <f aca="true" t="shared" si="1" ref="F8:F64">IF(C8=0,"-",D8/C8)</f>
        <v>1</v>
      </c>
    </row>
    <row r="9" spans="1:6" ht="33" customHeight="1">
      <c r="A9" s="29" t="s">
        <v>2</v>
      </c>
      <c r="B9" s="35" t="s">
        <v>134</v>
      </c>
      <c r="C9" s="81">
        <v>329435</v>
      </c>
      <c r="D9" s="25">
        <f aca="true" t="shared" si="2" ref="D9:D34">C9</f>
        <v>329435</v>
      </c>
      <c r="E9" s="96" t="str">
        <f t="shared" si="0"/>
        <v>-</v>
      </c>
      <c r="F9" s="97">
        <f t="shared" si="1"/>
        <v>1</v>
      </c>
    </row>
    <row r="10" spans="1:6" ht="33" customHeight="1">
      <c r="A10" s="29" t="s">
        <v>3</v>
      </c>
      <c r="B10" s="35" t="s">
        <v>131</v>
      </c>
      <c r="C10" s="81">
        <v>2124325</v>
      </c>
      <c r="D10" s="25">
        <f>C10+2060</f>
        <v>2126385</v>
      </c>
      <c r="E10" s="96">
        <f t="shared" si="0"/>
        <v>2060</v>
      </c>
      <c r="F10" s="97">
        <f t="shared" si="1"/>
        <v>1.001</v>
      </c>
    </row>
    <row r="11" spans="1:6" ht="31.5" customHeight="1">
      <c r="A11" s="28" t="s">
        <v>57</v>
      </c>
      <c r="B11" s="34" t="s">
        <v>160</v>
      </c>
      <c r="C11" s="81">
        <v>183106</v>
      </c>
      <c r="D11" s="25">
        <f t="shared" si="2"/>
        <v>183106</v>
      </c>
      <c r="E11" s="96" t="str">
        <f t="shared" si="0"/>
        <v>-</v>
      </c>
      <c r="F11" s="97">
        <f t="shared" si="1"/>
        <v>1</v>
      </c>
    </row>
    <row r="12" spans="1:6" ht="31.5" customHeight="1">
      <c r="A12" s="28" t="s">
        <v>161</v>
      </c>
      <c r="B12" s="34" t="s">
        <v>164</v>
      </c>
      <c r="C12" s="81">
        <v>167944</v>
      </c>
      <c r="D12" s="25">
        <f t="shared" si="2"/>
        <v>167944</v>
      </c>
      <c r="E12" s="96" t="str">
        <f t="shared" si="0"/>
        <v>-</v>
      </c>
      <c r="F12" s="97">
        <f t="shared" si="1"/>
        <v>1</v>
      </c>
    </row>
    <row r="13" spans="1:6" ht="31.5" customHeight="1">
      <c r="A13" s="28" t="s">
        <v>162</v>
      </c>
      <c r="B13" s="34" t="s">
        <v>165</v>
      </c>
      <c r="C13" s="81">
        <v>79678</v>
      </c>
      <c r="D13" s="25">
        <f t="shared" si="2"/>
        <v>79678</v>
      </c>
      <c r="E13" s="96" t="str">
        <f t="shared" si="0"/>
        <v>-</v>
      </c>
      <c r="F13" s="97">
        <f t="shared" si="1"/>
        <v>1</v>
      </c>
    </row>
    <row r="14" spans="1:6" ht="31.5" customHeight="1">
      <c r="A14" s="28" t="s">
        <v>163</v>
      </c>
      <c r="B14" s="34" t="s">
        <v>166</v>
      </c>
      <c r="C14" s="81">
        <v>30260</v>
      </c>
      <c r="D14" s="25">
        <f t="shared" si="2"/>
        <v>30260</v>
      </c>
      <c r="E14" s="96" t="str">
        <f t="shared" si="0"/>
        <v>-</v>
      </c>
      <c r="F14" s="97">
        <f t="shared" si="1"/>
        <v>1</v>
      </c>
    </row>
    <row r="15" spans="1:6" ht="33" customHeight="1">
      <c r="A15" s="29" t="s">
        <v>4</v>
      </c>
      <c r="B15" s="35" t="s">
        <v>139</v>
      </c>
      <c r="C15" s="81">
        <v>155830</v>
      </c>
      <c r="D15" s="25">
        <f t="shared" si="2"/>
        <v>155830</v>
      </c>
      <c r="E15" s="96" t="str">
        <f t="shared" si="0"/>
        <v>-</v>
      </c>
      <c r="F15" s="97">
        <f t="shared" si="1"/>
        <v>1</v>
      </c>
    </row>
    <row r="16" spans="1:6" ht="33" customHeight="1">
      <c r="A16" s="29" t="s">
        <v>5</v>
      </c>
      <c r="B16" s="35" t="s">
        <v>135</v>
      </c>
      <c r="C16" s="81">
        <v>125267</v>
      </c>
      <c r="D16" s="25">
        <f t="shared" si="2"/>
        <v>125267</v>
      </c>
      <c r="E16" s="96" t="str">
        <f t="shared" si="0"/>
        <v>-</v>
      </c>
      <c r="F16" s="97">
        <f t="shared" si="1"/>
        <v>1</v>
      </c>
    </row>
    <row r="17" spans="1:6" ht="33" customHeight="1">
      <c r="A17" s="29" t="s">
        <v>6</v>
      </c>
      <c r="B17" s="35" t="s">
        <v>141</v>
      </c>
      <c r="C17" s="81">
        <v>53278</v>
      </c>
      <c r="D17" s="25">
        <f t="shared" si="2"/>
        <v>53278</v>
      </c>
      <c r="E17" s="96" t="str">
        <f t="shared" si="0"/>
        <v>-</v>
      </c>
      <c r="F17" s="97">
        <f t="shared" si="1"/>
        <v>1</v>
      </c>
    </row>
    <row r="18" spans="1:6" ht="33" customHeight="1">
      <c r="A18" s="29" t="s">
        <v>7</v>
      </c>
      <c r="B18" s="35" t="s">
        <v>140</v>
      </c>
      <c r="C18" s="81">
        <v>22630</v>
      </c>
      <c r="D18" s="25">
        <f t="shared" si="2"/>
        <v>22630</v>
      </c>
      <c r="E18" s="96" t="str">
        <f t="shared" si="0"/>
        <v>-</v>
      </c>
      <c r="F18" s="97">
        <f t="shared" si="1"/>
        <v>1</v>
      </c>
    </row>
    <row r="19" spans="1:6" ht="33" customHeight="1">
      <c r="A19" s="29" t="s">
        <v>8</v>
      </c>
      <c r="B19" s="35" t="s">
        <v>136</v>
      </c>
      <c r="C19" s="81">
        <v>117974</v>
      </c>
      <c r="D19" s="25">
        <f t="shared" si="2"/>
        <v>117974</v>
      </c>
      <c r="E19" s="96" t="str">
        <f t="shared" si="0"/>
        <v>-</v>
      </c>
      <c r="F19" s="97">
        <f t="shared" si="1"/>
        <v>1</v>
      </c>
    </row>
    <row r="20" spans="1:6" ht="33" customHeight="1">
      <c r="A20" s="29" t="s">
        <v>9</v>
      </c>
      <c r="B20" s="35" t="s">
        <v>137</v>
      </c>
      <c r="C20" s="81">
        <v>42978</v>
      </c>
      <c r="D20" s="25">
        <f t="shared" si="2"/>
        <v>42978</v>
      </c>
      <c r="E20" s="96" t="str">
        <f t="shared" si="0"/>
        <v>-</v>
      </c>
      <c r="F20" s="97">
        <f t="shared" si="1"/>
        <v>1</v>
      </c>
    </row>
    <row r="21" spans="1:6" ht="33" customHeight="1">
      <c r="A21" s="29" t="s">
        <v>10</v>
      </c>
      <c r="B21" s="35" t="s">
        <v>142</v>
      </c>
      <c r="C21" s="81">
        <v>2350</v>
      </c>
      <c r="D21" s="25">
        <f t="shared" si="2"/>
        <v>2350</v>
      </c>
      <c r="E21" s="96" t="str">
        <f t="shared" si="0"/>
        <v>-</v>
      </c>
      <c r="F21" s="97">
        <f t="shared" si="1"/>
        <v>1</v>
      </c>
    </row>
    <row r="22" spans="1:6" ht="46.5" customHeight="1">
      <c r="A22" s="29" t="s">
        <v>11</v>
      </c>
      <c r="B22" s="35" t="s">
        <v>138</v>
      </c>
      <c r="C22" s="81">
        <v>11032</v>
      </c>
      <c r="D22" s="25">
        <f t="shared" si="2"/>
        <v>11032</v>
      </c>
      <c r="E22" s="96" t="str">
        <f t="shared" si="0"/>
        <v>-</v>
      </c>
      <c r="F22" s="97">
        <f t="shared" si="1"/>
        <v>1</v>
      </c>
    </row>
    <row r="23" spans="1:6" ht="33" customHeight="1">
      <c r="A23" s="29" t="s">
        <v>12</v>
      </c>
      <c r="B23" s="35" t="s">
        <v>185</v>
      </c>
      <c r="C23" s="81">
        <v>109265</v>
      </c>
      <c r="D23" s="25">
        <f>C23+2517</f>
        <v>111782</v>
      </c>
      <c r="E23" s="96">
        <f t="shared" si="0"/>
        <v>2517</v>
      </c>
      <c r="F23" s="97">
        <f t="shared" si="1"/>
        <v>1.023</v>
      </c>
    </row>
    <row r="24" spans="1:6" ht="33" customHeight="1">
      <c r="A24" s="29" t="s">
        <v>13</v>
      </c>
      <c r="B24" s="35" t="s">
        <v>167</v>
      </c>
      <c r="C24" s="81">
        <v>56081</v>
      </c>
      <c r="D24" s="25">
        <f t="shared" si="2"/>
        <v>56081</v>
      </c>
      <c r="E24" s="96" t="str">
        <f t="shared" si="0"/>
        <v>-</v>
      </c>
      <c r="F24" s="97">
        <f t="shared" si="1"/>
        <v>1</v>
      </c>
    </row>
    <row r="25" spans="1:6" ht="33" customHeight="1">
      <c r="A25" s="30" t="s">
        <v>14</v>
      </c>
      <c r="B25" s="78" t="s">
        <v>249</v>
      </c>
      <c r="C25" s="81">
        <f>SUM(C26:C28)</f>
        <v>594782</v>
      </c>
      <c r="D25" s="81">
        <f>SUM(D26:D28)</f>
        <v>594782</v>
      </c>
      <c r="E25" s="96" t="str">
        <f t="shared" si="0"/>
        <v>-</v>
      </c>
      <c r="F25" s="97">
        <f t="shared" si="1"/>
        <v>1</v>
      </c>
    </row>
    <row r="26" spans="1:6" ht="31.5">
      <c r="A26" s="28" t="s">
        <v>143</v>
      </c>
      <c r="B26" s="34" t="s">
        <v>170</v>
      </c>
      <c r="C26" s="81">
        <v>592782</v>
      </c>
      <c r="D26" s="25">
        <f t="shared" si="2"/>
        <v>592782</v>
      </c>
      <c r="E26" s="96" t="str">
        <f t="shared" si="0"/>
        <v>-</v>
      </c>
      <c r="F26" s="97">
        <f t="shared" si="1"/>
        <v>1</v>
      </c>
    </row>
    <row r="27" spans="1:6" ht="31.5" customHeight="1">
      <c r="A27" s="28" t="s">
        <v>169</v>
      </c>
      <c r="B27" s="34" t="s">
        <v>172</v>
      </c>
      <c r="C27" s="81">
        <v>1400</v>
      </c>
      <c r="D27" s="25">
        <f t="shared" si="2"/>
        <v>1400</v>
      </c>
      <c r="E27" s="96" t="str">
        <f t="shared" si="0"/>
        <v>-</v>
      </c>
      <c r="F27" s="97">
        <f t="shared" si="1"/>
        <v>1</v>
      </c>
    </row>
    <row r="28" spans="1:6" ht="31.5" customHeight="1">
      <c r="A28" s="28" t="s">
        <v>173</v>
      </c>
      <c r="B28" s="34" t="s">
        <v>171</v>
      </c>
      <c r="C28" s="81">
        <v>600</v>
      </c>
      <c r="D28" s="25">
        <f t="shared" si="2"/>
        <v>600</v>
      </c>
      <c r="E28" s="96" t="str">
        <f t="shared" si="0"/>
        <v>-</v>
      </c>
      <c r="F28" s="97">
        <f t="shared" si="1"/>
        <v>1</v>
      </c>
    </row>
    <row r="29" spans="1:6" ht="33" customHeight="1">
      <c r="A29" s="31" t="s">
        <v>15</v>
      </c>
      <c r="B29" s="36" t="s">
        <v>122</v>
      </c>
      <c r="C29" s="81">
        <v>0</v>
      </c>
      <c r="D29" s="25">
        <f t="shared" si="2"/>
        <v>0</v>
      </c>
      <c r="E29" s="96" t="str">
        <f t="shared" si="0"/>
        <v>-</v>
      </c>
      <c r="F29" s="97" t="str">
        <f t="shared" si="1"/>
        <v>-</v>
      </c>
    </row>
    <row r="30" spans="1:6" ht="33" customHeight="1">
      <c r="A30" s="31" t="s">
        <v>119</v>
      </c>
      <c r="B30" s="37" t="s">
        <v>174</v>
      </c>
      <c r="C30" s="81">
        <v>0</v>
      </c>
      <c r="D30" s="25">
        <f t="shared" si="2"/>
        <v>0</v>
      </c>
      <c r="E30" s="96" t="str">
        <f t="shared" si="0"/>
        <v>-</v>
      </c>
      <c r="F30" s="97" t="str">
        <f t="shared" si="1"/>
        <v>-</v>
      </c>
    </row>
    <row r="31" spans="1:6" ht="31.5" customHeight="1">
      <c r="A31" s="28" t="s">
        <v>175</v>
      </c>
      <c r="B31" s="34" t="s">
        <v>187</v>
      </c>
      <c r="C31" s="81">
        <v>0</v>
      </c>
      <c r="D31" s="25">
        <f t="shared" si="2"/>
        <v>0</v>
      </c>
      <c r="E31" s="96" t="str">
        <f t="shared" si="0"/>
        <v>-</v>
      </c>
      <c r="F31" s="97" t="str">
        <f t="shared" si="1"/>
        <v>-</v>
      </c>
    </row>
    <row r="32" spans="1:6" ht="33" customHeight="1">
      <c r="A32" s="31" t="s">
        <v>120</v>
      </c>
      <c r="B32" s="37" t="s">
        <v>123</v>
      </c>
      <c r="C32" s="81">
        <v>0</v>
      </c>
      <c r="D32" s="25">
        <f t="shared" si="2"/>
        <v>0</v>
      </c>
      <c r="E32" s="96" t="str">
        <f t="shared" si="0"/>
        <v>-</v>
      </c>
      <c r="F32" s="97" t="str">
        <f t="shared" si="1"/>
        <v>-</v>
      </c>
    </row>
    <row r="33" spans="1:6" ht="33" customHeight="1">
      <c r="A33" s="31" t="s">
        <v>121</v>
      </c>
      <c r="B33" s="37" t="s">
        <v>186</v>
      </c>
      <c r="C33" s="81">
        <v>59126</v>
      </c>
      <c r="D33" s="25">
        <f t="shared" si="2"/>
        <v>59126</v>
      </c>
      <c r="E33" s="96" t="str">
        <f t="shared" si="0"/>
        <v>-</v>
      </c>
      <c r="F33" s="97">
        <f t="shared" si="1"/>
        <v>1</v>
      </c>
    </row>
    <row r="34" spans="1:6" ht="51.75" customHeight="1">
      <c r="A34" s="31" t="s">
        <v>246</v>
      </c>
      <c r="B34" s="37" t="s">
        <v>247</v>
      </c>
      <c r="C34" s="81">
        <v>0</v>
      </c>
      <c r="D34" s="25">
        <f t="shared" si="2"/>
        <v>0</v>
      </c>
      <c r="E34" s="96" t="str">
        <f>IF(C34=D34,"-",D34-C34)</f>
        <v>-</v>
      </c>
      <c r="F34" s="97" t="str">
        <f>IF(C34=0,"-",D34/C34)</f>
        <v>-</v>
      </c>
    </row>
    <row r="35" spans="1:6" s="5" customFormat="1" ht="31.5" customHeight="1">
      <c r="A35" s="32" t="s">
        <v>59</v>
      </c>
      <c r="B35" s="38" t="s">
        <v>60</v>
      </c>
      <c r="C35" s="84">
        <v>0</v>
      </c>
      <c r="D35" s="92">
        <f>C35</f>
        <v>0</v>
      </c>
      <c r="E35" s="15" t="str">
        <f t="shared" si="0"/>
        <v>-</v>
      </c>
      <c r="F35" s="98" t="str">
        <f t="shared" si="1"/>
        <v>-</v>
      </c>
    </row>
    <row r="36" spans="1:6" s="5" customFormat="1" ht="31.5" customHeight="1">
      <c r="A36" s="32" t="s">
        <v>58</v>
      </c>
      <c r="B36" s="38" t="s">
        <v>61</v>
      </c>
      <c r="C36" s="84">
        <v>121125</v>
      </c>
      <c r="D36" s="93">
        <f>C36</f>
        <v>121125</v>
      </c>
      <c r="E36" s="15" t="str">
        <f t="shared" si="0"/>
        <v>-</v>
      </c>
      <c r="F36" s="98">
        <f t="shared" si="1"/>
        <v>1</v>
      </c>
    </row>
    <row r="37" spans="1:6" s="5" customFormat="1" ht="42.75" customHeight="1">
      <c r="A37" s="32" t="s">
        <v>176</v>
      </c>
      <c r="B37" s="38" t="s">
        <v>177</v>
      </c>
      <c r="C37" s="84">
        <v>792986</v>
      </c>
      <c r="D37" s="84">
        <f>D12+D14+D25+D31</f>
        <v>792986</v>
      </c>
      <c r="E37" s="15" t="str">
        <f t="shared" si="0"/>
        <v>-</v>
      </c>
      <c r="F37" s="98">
        <f t="shared" si="1"/>
        <v>1</v>
      </c>
    </row>
    <row r="38" spans="1:6" s="3" customFormat="1" ht="30" customHeight="1">
      <c r="A38" s="26" t="s">
        <v>16</v>
      </c>
      <c r="B38" s="46" t="s">
        <v>250</v>
      </c>
      <c r="C38" s="24">
        <f>C39+C40+C41+C49+C51+C57+C58+C56</f>
        <v>30480</v>
      </c>
      <c r="D38" s="24">
        <f>D39+D40+D41+D49+D51+D57+D58+D56</f>
        <v>30480</v>
      </c>
      <c r="E38" s="13" t="str">
        <f t="shared" si="0"/>
        <v>-</v>
      </c>
      <c r="F38" s="99">
        <f t="shared" si="1"/>
        <v>1</v>
      </c>
    </row>
    <row r="39" spans="1:6" ht="28.5" customHeight="1">
      <c r="A39" s="31" t="s">
        <v>17</v>
      </c>
      <c r="B39" s="40" t="s">
        <v>18</v>
      </c>
      <c r="C39" s="81">
        <v>1142</v>
      </c>
      <c r="D39" s="85">
        <f>C39</f>
        <v>1142</v>
      </c>
      <c r="E39" s="96" t="str">
        <f t="shared" si="0"/>
        <v>-</v>
      </c>
      <c r="F39" s="97">
        <f t="shared" si="1"/>
        <v>1</v>
      </c>
    </row>
    <row r="40" spans="1:6" ht="28.5" customHeight="1">
      <c r="A40" s="31" t="s">
        <v>19</v>
      </c>
      <c r="B40" s="40" t="s">
        <v>20</v>
      </c>
      <c r="C40" s="81">
        <v>5093</v>
      </c>
      <c r="D40" s="85">
        <f>C40</f>
        <v>5093</v>
      </c>
      <c r="E40" s="96" t="str">
        <f t="shared" si="0"/>
        <v>-</v>
      </c>
      <c r="F40" s="97">
        <f t="shared" si="1"/>
        <v>1</v>
      </c>
    </row>
    <row r="41" spans="1:6" ht="28.5" customHeight="1">
      <c r="A41" s="31" t="s">
        <v>21</v>
      </c>
      <c r="B41" s="41" t="s">
        <v>251</v>
      </c>
      <c r="C41" s="85">
        <f>C42+C44+C45+C46+C47+C48</f>
        <v>295</v>
      </c>
      <c r="D41" s="85">
        <f>D42+D44+D45+D46+D47+D48</f>
        <v>295</v>
      </c>
      <c r="E41" s="96" t="str">
        <f t="shared" si="0"/>
        <v>-</v>
      </c>
      <c r="F41" s="97">
        <f t="shared" si="1"/>
        <v>1</v>
      </c>
    </row>
    <row r="42" spans="1:6" ht="28.5" customHeight="1">
      <c r="A42" s="42" t="s">
        <v>39</v>
      </c>
      <c r="B42" s="43" t="s">
        <v>32</v>
      </c>
      <c r="C42" s="81">
        <v>13</v>
      </c>
      <c r="D42" s="85">
        <f>C42</f>
        <v>13</v>
      </c>
      <c r="E42" s="96" t="str">
        <f t="shared" si="0"/>
        <v>-</v>
      </c>
      <c r="F42" s="97">
        <f t="shared" si="1"/>
        <v>1</v>
      </c>
    </row>
    <row r="43" spans="1:6" ht="28.5" customHeight="1">
      <c r="A43" s="42" t="s">
        <v>40</v>
      </c>
      <c r="B43" s="44" t="s">
        <v>33</v>
      </c>
      <c r="C43" s="81">
        <v>13</v>
      </c>
      <c r="D43" s="85">
        <f aca="true" t="shared" si="3" ref="D43:D55">C43</f>
        <v>13</v>
      </c>
      <c r="E43" s="96" t="str">
        <f t="shared" si="0"/>
        <v>-</v>
      </c>
      <c r="F43" s="97">
        <f t="shared" si="1"/>
        <v>1</v>
      </c>
    </row>
    <row r="44" spans="1:6" ht="28.5" customHeight="1">
      <c r="A44" s="42" t="s">
        <v>41</v>
      </c>
      <c r="B44" s="43" t="s">
        <v>34</v>
      </c>
      <c r="C44" s="81">
        <v>17</v>
      </c>
      <c r="D44" s="85">
        <f t="shared" si="3"/>
        <v>17</v>
      </c>
      <c r="E44" s="96" t="str">
        <f t="shared" si="0"/>
        <v>-</v>
      </c>
      <c r="F44" s="97">
        <f t="shared" si="1"/>
        <v>1</v>
      </c>
    </row>
    <row r="45" spans="1:6" ht="28.5" customHeight="1">
      <c r="A45" s="42" t="s">
        <v>42</v>
      </c>
      <c r="B45" s="43" t="s">
        <v>35</v>
      </c>
      <c r="C45" s="81">
        <v>0</v>
      </c>
      <c r="D45" s="85">
        <f t="shared" si="3"/>
        <v>0</v>
      </c>
      <c r="E45" s="96" t="str">
        <f t="shared" si="0"/>
        <v>-</v>
      </c>
      <c r="F45" s="97" t="str">
        <f t="shared" si="1"/>
        <v>-</v>
      </c>
    </row>
    <row r="46" spans="1:6" ht="28.5" customHeight="1">
      <c r="A46" s="42" t="s">
        <v>43</v>
      </c>
      <c r="B46" s="43" t="s">
        <v>36</v>
      </c>
      <c r="C46" s="81">
        <v>0</v>
      </c>
      <c r="D46" s="85">
        <f t="shared" si="3"/>
        <v>0</v>
      </c>
      <c r="E46" s="96" t="str">
        <f t="shared" si="0"/>
        <v>-</v>
      </c>
      <c r="F46" s="97" t="str">
        <f t="shared" si="1"/>
        <v>-</v>
      </c>
    </row>
    <row r="47" spans="1:6" ht="28.5" customHeight="1">
      <c r="A47" s="42" t="s">
        <v>44</v>
      </c>
      <c r="B47" s="43" t="s">
        <v>37</v>
      </c>
      <c r="C47" s="81">
        <v>261</v>
      </c>
      <c r="D47" s="85">
        <f t="shared" si="3"/>
        <v>261</v>
      </c>
      <c r="E47" s="96" t="str">
        <f t="shared" si="0"/>
        <v>-</v>
      </c>
      <c r="F47" s="97">
        <f t="shared" si="1"/>
        <v>1</v>
      </c>
    </row>
    <row r="48" spans="1:6" ht="28.5" customHeight="1">
      <c r="A48" s="42" t="s">
        <v>45</v>
      </c>
      <c r="B48" s="43" t="s">
        <v>38</v>
      </c>
      <c r="C48" s="81">
        <v>4</v>
      </c>
      <c r="D48" s="85">
        <f>C48</f>
        <v>4</v>
      </c>
      <c r="E48" s="96" t="str">
        <f t="shared" si="0"/>
        <v>-</v>
      </c>
      <c r="F48" s="97">
        <f t="shared" si="1"/>
        <v>1</v>
      </c>
    </row>
    <row r="49" spans="1:6" ht="28.5" customHeight="1">
      <c r="A49" s="31" t="s">
        <v>22</v>
      </c>
      <c r="B49" s="40" t="s">
        <v>178</v>
      </c>
      <c r="C49" s="81">
        <v>17343</v>
      </c>
      <c r="D49" s="85">
        <f>C49</f>
        <v>17343</v>
      </c>
      <c r="E49" s="96" t="str">
        <f t="shared" si="0"/>
        <v>-</v>
      </c>
      <c r="F49" s="97">
        <f t="shared" si="1"/>
        <v>1</v>
      </c>
    </row>
    <row r="50" spans="1:6" ht="28.5" customHeight="1">
      <c r="A50" s="42" t="s">
        <v>179</v>
      </c>
      <c r="B50" s="43" t="s">
        <v>180</v>
      </c>
      <c r="C50" s="81">
        <v>90</v>
      </c>
      <c r="D50" s="85">
        <f>C50</f>
        <v>90</v>
      </c>
      <c r="E50" s="96" t="str">
        <f t="shared" si="0"/>
        <v>-</v>
      </c>
      <c r="F50" s="97">
        <f t="shared" si="1"/>
        <v>1</v>
      </c>
    </row>
    <row r="51" spans="1:6" ht="28.5" customHeight="1">
      <c r="A51" s="31" t="s">
        <v>23</v>
      </c>
      <c r="B51" s="41" t="s">
        <v>252</v>
      </c>
      <c r="C51" s="77">
        <f>C52+C53+C54+C55</f>
        <v>3844</v>
      </c>
      <c r="D51" s="77">
        <f>D52+D53+D54+D55</f>
        <v>3844</v>
      </c>
      <c r="E51" s="96" t="str">
        <f t="shared" si="0"/>
        <v>-</v>
      </c>
      <c r="F51" s="97">
        <f t="shared" si="1"/>
        <v>1</v>
      </c>
    </row>
    <row r="52" spans="1:6" ht="28.5" customHeight="1">
      <c r="A52" s="42" t="s">
        <v>50</v>
      </c>
      <c r="B52" s="43" t="s">
        <v>46</v>
      </c>
      <c r="C52" s="81">
        <v>2981</v>
      </c>
      <c r="D52" s="85">
        <f t="shared" si="3"/>
        <v>2981</v>
      </c>
      <c r="E52" s="96" t="str">
        <f t="shared" si="0"/>
        <v>-</v>
      </c>
      <c r="F52" s="97">
        <f t="shared" si="1"/>
        <v>1</v>
      </c>
    </row>
    <row r="53" spans="1:6" ht="28.5" customHeight="1">
      <c r="A53" s="42" t="s">
        <v>51</v>
      </c>
      <c r="B53" s="43" t="s">
        <v>47</v>
      </c>
      <c r="C53" s="81">
        <v>425</v>
      </c>
      <c r="D53" s="85">
        <f t="shared" si="3"/>
        <v>425</v>
      </c>
      <c r="E53" s="96" t="str">
        <f t="shared" si="0"/>
        <v>-</v>
      </c>
      <c r="F53" s="97">
        <f t="shared" si="1"/>
        <v>1</v>
      </c>
    </row>
    <row r="54" spans="1:6" ht="28.5" customHeight="1">
      <c r="A54" s="42" t="s">
        <v>52</v>
      </c>
      <c r="B54" s="43" t="s">
        <v>48</v>
      </c>
      <c r="C54" s="81">
        <v>0</v>
      </c>
      <c r="D54" s="85">
        <f t="shared" si="3"/>
        <v>0</v>
      </c>
      <c r="E54" s="96" t="str">
        <f t="shared" si="0"/>
        <v>-</v>
      </c>
      <c r="F54" s="97" t="str">
        <f t="shared" si="1"/>
        <v>-</v>
      </c>
    </row>
    <row r="55" spans="1:6" ht="28.5" customHeight="1">
      <c r="A55" s="42" t="s">
        <v>53</v>
      </c>
      <c r="B55" s="43" t="s">
        <v>49</v>
      </c>
      <c r="C55" s="81">
        <v>438</v>
      </c>
      <c r="D55" s="85">
        <f t="shared" si="3"/>
        <v>438</v>
      </c>
      <c r="E55" s="96" t="str">
        <f t="shared" si="0"/>
        <v>-</v>
      </c>
      <c r="F55" s="97">
        <f t="shared" si="1"/>
        <v>1</v>
      </c>
    </row>
    <row r="56" spans="1:6" ht="28.5" customHeight="1">
      <c r="A56" s="31" t="s">
        <v>24</v>
      </c>
      <c r="B56" s="40" t="s">
        <v>25</v>
      </c>
      <c r="C56" s="81">
        <v>0</v>
      </c>
      <c r="D56" s="85">
        <f>C56</f>
        <v>0</v>
      </c>
      <c r="E56" s="96" t="str">
        <f t="shared" si="0"/>
        <v>-</v>
      </c>
      <c r="F56" s="97" t="str">
        <f t="shared" si="1"/>
        <v>-</v>
      </c>
    </row>
    <row r="57" spans="1:6" ht="28.5" customHeight="1">
      <c r="A57" s="31" t="s">
        <v>26</v>
      </c>
      <c r="B57" s="40" t="s">
        <v>181</v>
      </c>
      <c r="C57" s="81">
        <v>2495</v>
      </c>
      <c r="D57" s="85">
        <f>C57</f>
        <v>2495</v>
      </c>
      <c r="E57" s="96" t="str">
        <f t="shared" si="0"/>
        <v>-</v>
      </c>
      <c r="F57" s="100">
        <f t="shared" si="1"/>
        <v>1</v>
      </c>
    </row>
    <row r="58" spans="1:6" ht="28.5" customHeight="1">
      <c r="A58" s="31" t="s">
        <v>27</v>
      </c>
      <c r="B58" s="40" t="s">
        <v>28</v>
      </c>
      <c r="C58" s="81">
        <v>268</v>
      </c>
      <c r="D58" s="85">
        <f>C58</f>
        <v>268</v>
      </c>
      <c r="E58" s="96" t="str">
        <f t="shared" si="0"/>
        <v>-</v>
      </c>
      <c r="F58" s="97">
        <f t="shared" si="1"/>
        <v>1</v>
      </c>
    </row>
    <row r="59" spans="1:6" s="3" customFormat="1" ht="30" customHeight="1">
      <c r="A59" s="33" t="s">
        <v>29</v>
      </c>
      <c r="B59" s="45" t="s">
        <v>182</v>
      </c>
      <c r="C59" s="27">
        <f>C60+C61+C62+C63</f>
        <v>17380</v>
      </c>
      <c r="D59" s="27">
        <f>D60+D61+D62+D63</f>
        <v>9990</v>
      </c>
      <c r="E59" s="13">
        <f t="shared" si="0"/>
        <v>-7390</v>
      </c>
      <c r="F59" s="101">
        <f t="shared" si="1"/>
        <v>0.5748</v>
      </c>
    </row>
    <row r="60" spans="1:6" ht="42" customHeight="1">
      <c r="A60" s="31" t="s">
        <v>102</v>
      </c>
      <c r="B60" s="40" t="s">
        <v>124</v>
      </c>
      <c r="C60" s="81">
        <v>0</v>
      </c>
      <c r="D60" s="85">
        <f>C60</f>
        <v>0</v>
      </c>
      <c r="E60" s="77" t="str">
        <f t="shared" si="0"/>
        <v>-</v>
      </c>
      <c r="F60" s="97" t="str">
        <f t="shared" si="1"/>
        <v>-</v>
      </c>
    </row>
    <row r="61" spans="1:6" ht="31.5" customHeight="1">
      <c r="A61" s="31" t="s">
        <v>30</v>
      </c>
      <c r="B61" s="40" t="s">
        <v>56</v>
      </c>
      <c r="C61" s="81">
        <v>17000</v>
      </c>
      <c r="D61" s="85">
        <f>C61-7330</f>
        <v>9670</v>
      </c>
      <c r="E61" s="77">
        <f t="shared" si="0"/>
        <v>-7330</v>
      </c>
      <c r="F61" s="97">
        <f t="shared" si="1"/>
        <v>0.5688</v>
      </c>
    </row>
    <row r="62" spans="1:6" ht="31.5" customHeight="1">
      <c r="A62" s="31" t="s">
        <v>31</v>
      </c>
      <c r="B62" s="40" t="s">
        <v>104</v>
      </c>
      <c r="C62" s="81">
        <v>0</v>
      </c>
      <c r="D62" s="85">
        <f>C62</f>
        <v>0</v>
      </c>
      <c r="E62" s="77" t="str">
        <f t="shared" si="0"/>
        <v>-</v>
      </c>
      <c r="F62" s="97" t="str">
        <f t="shared" si="1"/>
        <v>-</v>
      </c>
    </row>
    <row r="63" spans="1:6" ht="31.5" customHeight="1">
      <c r="A63" s="31" t="s">
        <v>103</v>
      </c>
      <c r="B63" s="40" t="s">
        <v>105</v>
      </c>
      <c r="C63" s="81">
        <v>380</v>
      </c>
      <c r="D63" s="85">
        <f>C63-60</f>
        <v>320</v>
      </c>
      <c r="E63" s="77">
        <f t="shared" si="0"/>
        <v>-60</v>
      </c>
      <c r="F63" s="97">
        <f t="shared" si="1"/>
        <v>0.8421</v>
      </c>
    </row>
    <row r="64" spans="1:6" ht="32.25" customHeight="1">
      <c r="A64" s="33" t="s">
        <v>110</v>
      </c>
      <c r="B64" s="45" t="s">
        <v>129</v>
      </c>
      <c r="C64" s="27">
        <v>5000</v>
      </c>
      <c r="D64" s="27">
        <f>C64-1050</f>
        <v>3950</v>
      </c>
      <c r="E64" s="13">
        <f t="shared" si="0"/>
        <v>-1050</v>
      </c>
      <c r="F64" s="101">
        <f t="shared" si="1"/>
        <v>0.79</v>
      </c>
    </row>
  </sheetData>
  <sheetProtection formatCells="0" formatColumns="0" formatRows="0" insertColumns="0" insertRows="0" insertHyperlinks="0" deleteColumns="0" deleteRows="0"/>
  <mergeCells count="7">
    <mergeCell ref="F4:F5"/>
    <mergeCell ref="A1:F1"/>
    <mergeCell ref="A4:A5"/>
    <mergeCell ref="B4:B5"/>
    <mergeCell ref="C4:C5"/>
    <mergeCell ref="D4:D5"/>
    <mergeCell ref="E4:E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8" r:id="rId1"/>
  <headerFooter alignWithMargins="0">
    <oddFooter>&amp;R&amp;20&amp;P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showGridLines="0" view="pageBreakPreview" zoomScale="55" zoomScaleNormal="70" zoomScaleSheetLayoutView="55" zoomScalePageLayoutView="0" workbookViewId="0" topLeftCell="A1">
      <pane xSplit="1" ySplit="7" topLeftCell="B56" activePane="bottomRight" state="frozen"/>
      <selection pane="topLeft" activeCell="G1" sqref="G1:S65536"/>
      <selection pane="topRight" activeCell="G1" sqref="G1:S65536"/>
      <selection pane="bottomLeft" activeCell="G1" sqref="G1:S65536"/>
      <selection pane="bottomRight" activeCell="G1" sqref="G1:S65536"/>
    </sheetView>
  </sheetViews>
  <sheetFormatPr defaultColWidth="9.00390625" defaultRowHeight="12.75"/>
  <cols>
    <col min="1" max="1" width="9.125" style="2" customWidth="1"/>
    <col min="2" max="2" width="125.875" style="2" customWidth="1"/>
    <col min="3" max="3" width="25.75390625" style="2" customWidth="1"/>
    <col min="4" max="4" width="26.875" style="2" customWidth="1"/>
    <col min="5" max="5" width="25.125" style="2" customWidth="1"/>
    <col min="6" max="6" width="23.25390625" style="2" customWidth="1"/>
    <col min="7" max="16384" width="9.125" style="2" customWidth="1"/>
  </cols>
  <sheetData>
    <row r="1" spans="1:6" s="48" customFormat="1" ht="38.25" customHeight="1">
      <c r="A1" s="152" t="str">
        <f>NFZ!A1</f>
        <v>ZMIANA PLANU NARODOWEGO FUNDUSZU ZDROWIA NA 2014 R. Z DNIA 30 GRUDNIA 2014 R.</v>
      </c>
      <c r="B1" s="152"/>
      <c r="C1" s="152"/>
      <c r="D1" s="152"/>
      <c r="E1" s="152"/>
      <c r="F1" s="152"/>
    </row>
    <row r="2" spans="1:3" s="50" customFormat="1" ht="33" customHeight="1">
      <c r="A2" s="88" t="s">
        <v>67</v>
      </c>
      <c r="B2" s="88"/>
      <c r="C2" s="94"/>
    </row>
    <row r="3" spans="1:6" ht="33" customHeight="1">
      <c r="A3" s="8"/>
      <c r="B3" s="9"/>
      <c r="C3" s="87"/>
      <c r="D3" s="87"/>
      <c r="E3" s="87" t="s">
        <v>159</v>
      </c>
      <c r="F3" s="10"/>
    </row>
    <row r="4" spans="1:6" s="6" customFormat="1" ht="45" customHeight="1">
      <c r="A4" s="149" t="s">
        <v>132</v>
      </c>
      <c r="B4" s="149" t="s">
        <v>55</v>
      </c>
      <c r="C4" s="150" t="s">
        <v>236</v>
      </c>
      <c r="D4" s="150" t="s">
        <v>191</v>
      </c>
      <c r="E4" s="153" t="s">
        <v>192</v>
      </c>
      <c r="F4" s="153" t="s">
        <v>193</v>
      </c>
    </row>
    <row r="5" spans="1:6" s="6" customFormat="1" ht="45" customHeight="1">
      <c r="A5" s="149"/>
      <c r="B5" s="149"/>
      <c r="C5" s="151"/>
      <c r="D5" s="151"/>
      <c r="E5" s="153"/>
      <c r="F5" s="153"/>
    </row>
    <row r="6" spans="1:6" s="4" customFormat="1" ht="14.25">
      <c r="A6" s="47">
        <v>1</v>
      </c>
      <c r="B6" s="52">
        <v>2</v>
      </c>
      <c r="C6" s="47">
        <v>3</v>
      </c>
      <c r="D6" s="52">
        <v>4</v>
      </c>
      <c r="E6" s="47">
        <v>5</v>
      </c>
      <c r="F6" s="52">
        <v>6</v>
      </c>
    </row>
    <row r="7" spans="1:6" s="3" customFormat="1" ht="30" customHeight="1">
      <c r="A7" s="23" t="s">
        <v>0</v>
      </c>
      <c r="B7" s="39" t="s">
        <v>248</v>
      </c>
      <c r="C7" s="16">
        <f>C8+C9+C10+C15+C16+C17+C18+C19+C20+C21+C22+C23+C24+C25+C29+C30+C32+C33</f>
        <v>5386281</v>
      </c>
      <c r="D7" s="16">
        <f>D8+D9+D10+D15+D16+D17+D18+D19+D20+D21+D22+D23+D24+D25+D29+D30+D32+D33</f>
        <v>5391915</v>
      </c>
      <c r="E7" s="13">
        <f>IF(C7=D7,"-",D7-C7)</f>
        <v>5634</v>
      </c>
      <c r="F7" s="95">
        <f>IF(C7=0,"-",D7/C7)</f>
        <v>1.001</v>
      </c>
    </row>
    <row r="8" spans="1:6" ht="33" customHeight="1">
      <c r="A8" s="29" t="s">
        <v>1</v>
      </c>
      <c r="B8" s="35" t="s">
        <v>133</v>
      </c>
      <c r="C8" s="81">
        <v>664580</v>
      </c>
      <c r="D8" s="25">
        <f>C8</f>
        <v>664580</v>
      </c>
      <c r="E8" s="96" t="str">
        <f aca="true" t="shared" si="0" ref="E8:E64">IF(C8=D8,"-",D8-C8)</f>
        <v>-</v>
      </c>
      <c r="F8" s="97">
        <f aca="true" t="shared" si="1" ref="F8:F64">IF(C8=0,"-",D8/C8)</f>
        <v>1</v>
      </c>
    </row>
    <row r="9" spans="1:6" ht="33" customHeight="1">
      <c r="A9" s="29" t="s">
        <v>2</v>
      </c>
      <c r="B9" s="35" t="s">
        <v>134</v>
      </c>
      <c r="C9" s="81">
        <v>473605</v>
      </c>
      <c r="D9" s="25">
        <f aca="true" t="shared" si="2" ref="D9:D34">C9</f>
        <v>473605</v>
      </c>
      <c r="E9" s="96" t="str">
        <f t="shared" si="0"/>
        <v>-</v>
      </c>
      <c r="F9" s="97">
        <f t="shared" si="1"/>
        <v>1</v>
      </c>
    </row>
    <row r="10" spans="1:6" ht="33" customHeight="1">
      <c r="A10" s="29" t="s">
        <v>3</v>
      </c>
      <c r="B10" s="35" t="s">
        <v>131</v>
      </c>
      <c r="C10" s="81">
        <v>2610517</v>
      </c>
      <c r="D10" s="25">
        <f>C10+5634</f>
        <v>2616151</v>
      </c>
      <c r="E10" s="96">
        <f t="shared" si="0"/>
        <v>5634</v>
      </c>
      <c r="F10" s="97">
        <f t="shared" si="1"/>
        <v>1.0022</v>
      </c>
    </row>
    <row r="11" spans="1:6" ht="31.5" customHeight="1">
      <c r="A11" s="28" t="s">
        <v>57</v>
      </c>
      <c r="B11" s="34" t="s">
        <v>160</v>
      </c>
      <c r="C11" s="81">
        <v>257760</v>
      </c>
      <c r="D11" s="25">
        <f t="shared" si="2"/>
        <v>257760</v>
      </c>
      <c r="E11" s="96" t="str">
        <f t="shared" si="0"/>
        <v>-</v>
      </c>
      <c r="F11" s="97">
        <f t="shared" si="1"/>
        <v>1</v>
      </c>
    </row>
    <row r="12" spans="1:6" ht="31.5" customHeight="1">
      <c r="A12" s="28" t="s">
        <v>161</v>
      </c>
      <c r="B12" s="34" t="s">
        <v>164</v>
      </c>
      <c r="C12" s="81">
        <v>239272</v>
      </c>
      <c r="D12" s="25">
        <f t="shared" si="2"/>
        <v>239272</v>
      </c>
      <c r="E12" s="96" t="str">
        <f t="shared" si="0"/>
        <v>-</v>
      </c>
      <c r="F12" s="97">
        <f t="shared" si="1"/>
        <v>1</v>
      </c>
    </row>
    <row r="13" spans="1:6" ht="31.5" customHeight="1">
      <c r="A13" s="28" t="s">
        <v>162</v>
      </c>
      <c r="B13" s="34" t="s">
        <v>165</v>
      </c>
      <c r="C13" s="81">
        <v>97367</v>
      </c>
      <c r="D13" s="25">
        <f t="shared" si="2"/>
        <v>97367</v>
      </c>
      <c r="E13" s="96" t="str">
        <f t="shared" si="0"/>
        <v>-</v>
      </c>
      <c r="F13" s="97">
        <f t="shared" si="1"/>
        <v>1</v>
      </c>
    </row>
    <row r="14" spans="1:6" ht="31.5" customHeight="1">
      <c r="A14" s="28" t="s">
        <v>163</v>
      </c>
      <c r="B14" s="34" t="s">
        <v>166</v>
      </c>
      <c r="C14" s="81">
        <v>45665</v>
      </c>
      <c r="D14" s="25">
        <f t="shared" si="2"/>
        <v>45665</v>
      </c>
      <c r="E14" s="96" t="str">
        <f t="shared" si="0"/>
        <v>-</v>
      </c>
      <c r="F14" s="97">
        <f t="shared" si="1"/>
        <v>1</v>
      </c>
    </row>
    <row r="15" spans="1:6" ht="33" customHeight="1">
      <c r="A15" s="29" t="s">
        <v>4</v>
      </c>
      <c r="B15" s="35" t="s">
        <v>139</v>
      </c>
      <c r="C15" s="81">
        <v>167372</v>
      </c>
      <c r="D15" s="25">
        <f t="shared" si="2"/>
        <v>167372</v>
      </c>
      <c r="E15" s="96" t="str">
        <f t="shared" si="0"/>
        <v>-</v>
      </c>
      <c r="F15" s="97">
        <f t="shared" si="1"/>
        <v>1</v>
      </c>
    </row>
    <row r="16" spans="1:6" ht="33" customHeight="1">
      <c r="A16" s="29" t="s">
        <v>5</v>
      </c>
      <c r="B16" s="35" t="s">
        <v>135</v>
      </c>
      <c r="C16" s="81">
        <v>180495</v>
      </c>
      <c r="D16" s="25">
        <f t="shared" si="2"/>
        <v>180495</v>
      </c>
      <c r="E16" s="96" t="str">
        <f t="shared" si="0"/>
        <v>-</v>
      </c>
      <c r="F16" s="97">
        <f t="shared" si="1"/>
        <v>1</v>
      </c>
    </row>
    <row r="17" spans="1:6" ht="33" customHeight="1">
      <c r="A17" s="29" t="s">
        <v>6</v>
      </c>
      <c r="B17" s="35" t="s">
        <v>141</v>
      </c>
      <c r="C17" s="81">
        <v>114602</v>
      </c>
      <c r="D17" s="25">
        <f t="shared" si="2"/>
        <v>114602</v>
      </c>
      <c r="E17" s="96" t="str">
        <f t="shared" si="0"/>
        <v>-</v>
      </c>
      <c r="F17" s="97">
        <f t="shared" si="1"/>
        <v>1</v>
      </c>
    </row>
    <row r="18" spans="1:6" ht="33" customHeight="1">
      <c r="A18" s="29" t="s">
        <v>7</v>
      </c>
      <c r="B18" s="35" t="s">
        <v>140</v>
      </c>
      <c r="C18" s="81">
        <v>34178</v>
      </c>
      <c r="D18" s="25">
        <f t="shared" si="2"/>
        <v>34178</v>
      </c>
      <c r="E18" s="96" t="str">
        <f t="shared" si="0"/>
        <v>-</v>
      </c>
      <c r="F18" s="97">
        <f t="shared" si="1"/>
        <v>1</v>
      </c>
    </row>
    <row r="19" spans="1:6" ht="33" customHeight="1">
      <c r="A19" s="29" t="s">
        <v>8</v>
      </c>
      <c r="B19" s="35" t="s">
        <v>136</v>
      </c>
      <c r="C19" s="81">
        <v>181060</v>
      </c>
      <c r="D19" s="25">
        <f t="shared" si="2"/>
        <v>181060</v>
      </c>
      <c r="E19" s="96" t="str">
        <f t="shared" si="0"/>
        <v>-</v>
      </c>
      <c r="F19" s="97">
        <f t="shared" si="1"/>
        <v>1</v>
      </c>
    </row>
    <row r="20" spans="1:6" ht="33" customHeight="1">
      <c r="A20" s="29" t="s">
        <v>9</v>
      </c>
      <c r="B20" s="35" t="s">
        <v>137</v>
      </c>
      <c r="C20" s="81">
        <v>49531</v>
      </c>
      <c r="D20" s="25">
        <f t="shared" si="2"/>
        <v>49531</v>
      </c>
      <c r="E20" s="96" t="str">
        <f t="shared" si="0"/>
        <v>-</v>
      </c>
      <c r="F20" s="97">
        <f t="shared" si="1"/>
        <v>1</v>
      </c>
    </row>
    <row r="21" spans="1:6" ht="33" customHeight="1">
      <c r="A21" s="29" t="s">
        <v>10</v>
      </c>
      <c r="B21" s="35" t="s">
        <v>142</v>
      </c>
      <c r="C21" s="81">
        <v>1701</v>
      </c>
      <c r="D21" s="25">
        <f t="shared" si="2"/>
        <v>1701</v>
      </c>
      <c r="E21" s="96" t="str">
        <f t="shared" si="0"/>
        <v>-</v>
      </c>
      <c r="F21" s="97">
        <f t="shared" si="1"/>
        <v>1</v>
      </c>
    </row>
    <row r="22" spans="1:6" ht="46.5" customHeight="1">
      <c r="A22" s="29" t="s">
        <v>11</v>
      </c>
      <c r="B22" s="35" t="s">
        <v>138</v>
      </c>
      <c r="C22" s="81">
        <v>12379</v>
      </c>
      <c r="D22" s="25">
        <f t="shared" si="2"/>
        <v>12379</v>
      </c>
      <c r="E22" s="96" t="str">
        <f t="shared" si="0"/>
        <v>-</v>
      </c>
      <c r="F22" s="97">
        <f t="shared" si="1"/>
        <v>1</v>
      </c>
    </row>
    <row r="23" spans="1:6" ht="33" customHeight="1">
      <c r="A23" s="29" t="s">
        <v>12</v>
      </c>
      <c r="B23" s="35" t="s">
        <v>185</v>
      </c>
      <c r="C23" s="81">
        <v>146640</v>
      </c>
      <c r="D23" s="25">
        <f t="shared" si="2"/>
        <v>146640</v>
      </c>
      <c r="E23" s="96" t="str">
        <f t="shared" si="0"/>
        <v>-</v>
      </c>
      <c r="F23" s="97">
        <f t="shared" si="1"/>
        <v>1</v>
      </c>
    </row>
    <row r="24" spans="1:6" ht="33" customHeight="1">
      <c r="A24" s="29" t="s">
        <v>13</v>
      </c>
      <c r="B24" s="35" t="s">
        <v>167</v>
      </c>
      <c r="C24" s="81">
        <v>70000</v>
      </c>
      <c r="D24" s="25">
        <f t="shared" si="2"/>
        <v>70000</v>
      </c>
      <c r="E24" s="96" t="str">
        <f t="shared" si="0"/>
        <v>-</v>
      </c>
      <c r="F24" s="97">
        <f t="shared" si="1"/>
        <v>1</v>
      </c>
    </row>
    <row r="25" spans="1:6" ht="33" customHeight="1">
      <c r="A25" s="30" t="s">
        <v>14</v>
      </c>
      <c r="B25" s="78" t="s">
        <v>249</v>
      </c>
      <c r="C25" s="81">
        <f>SUM(C26:C28)</f>
        <v>679621</v>
      </c>
      <c r="D25" s="81">
        <f>SUM(D26:D28)</f>
        <v>679621</v>
      </c>
      <c r="E25" s="96" t="str">
        <f t="shared" si="0"/>
        <v>-</v>
      </c>
      <c r="F25" s="97">
        <f t="shared" si="1"/>
        <v>1</v>
      </c>
    </row>
    <row r="26" spans="1:6" ht="31.5">
      <c r="A26" s="28" t="s">
        <v>143</v>
      </c>
      <c r="B26" s="34" t="s">
        <v>170</v>
      </c>
      <c r="C26" s="81">
        <v>675621</v>
      </c>
      <c r="D26" s="25">
        <f t="shared" si="2"/>
        <v>675621</v>
      </c>
      <c r="E26" s="96" t="str">
        <f t="shared" si="0"/>
        <v>-</v>
      </c>
      <c r="F26" s="97">
        <f t="shared" si="1"/>
        <v>1</v>
      </c>
    </row>
    <row r="27" spans="1:6" ht="31.5" customHeight="1">
      <c r="A27" s="28" t="s">
        <v>169</v>
      </c>
      <c r="B27" s="34" t="s">
        <v>172</v>
      </c>
      <c r="C27" s="81">
        <v>3000</v>
      </c>
      <c r="D27" s="25">
        <f t="shared" si="2"/>
        <v>3000</v>
      </c>
      <c r="E27" s="96" t="str">
        <f t="shared" si="0"/>
        <v>-</v>
      </c>
      <c r="F27" s="97">
        <f t="shared" si="1"/>
        <v>1</v>
      </c>
    </row>
    <row r="28" spans="1:6" ht="31.5" customHeight="1">
      <c r="A28" s="28" t="s">
        <v>173</v>
      </c>
      <c r="B28" s="34" t="s">
        <v>171</v>
      </c>
      <c r="C28" s="81">
        <v>1000</v>
      </c>
      <c r="D28" s="25">
        <f t="shared" si="2"/>
        <v>1000</v>
      </c>
      <c r="E28" s="96" t="str">
        <f t="shared" si="0"/>
        <v>-</v>
      </c>
      <c r="F28" s="97">
        <f t="shared" si="1"/>
        <v>1</v>
      </c>
    </row>
    <row r="29" spans="1:6" ht="33" customHeight="1">
      <c r="A29" s="31" t="s">
        <v>15</v>
      </c>
      <c r="B29" s="36" t="s">
        <v>122</v>
      </c>
      <c r="C29" s="81">
        <v>0</v>
      </c>
      <c r="D29" s="25">
        <f t="shared" si="2"/>
        <v>0</v>
      </c>
      <c r="E29" s="96" t="str">
        <f t="shared" si="0"/>
        <v>-</v>
      </c>
      <c r="F29" s="97" t="str">
        <f t="shared" si="1"/>
        <v>-</v>
      </c>
    </row>
    <row r="30" spans="1:6" ht="33" customHeight="1">
      <c r="A30" s="31" t="s">
        <v>119</v>
      </c>
      <c r="B30" s="37" t="s">
        <v>174</v>
      </c>
      <c r="C30" s="81">
        <v>0</v>
      </c>
      <c r="D30" s="25">
        <f t="shared" si="2"/>
        <v>0</v>
      </c>
      <c r="E30" s="96" t="str">
        <f t="shared" si="0"/>
        <v>-</v>
      </c>
      <c r="F30" s="97" t="str">
        <f t="shared" si="1"/>
        <v>-</v>
      </c>
    </row>
    <row r="31" spans="1:6" ht="31.5" customHeight="1">
      <c r="A31" s="28" t="s">
        <v>175</v>
      </c>
      <c r="B31" s="34" t="s">
        <v>187</v>
      </c>
      <c r="C31" s="81">
        <v>0</v>
      </c>
      <c r="D31" s="25">
        <f t="shared" si="2"/>
        <v>0</v>
      </c>
      <c r="E31" s="96" t="str">
        <f t="shared" si="0"/>
        <v>-</v>
      </c>
      <c r="F31" s="97" t="str">
        <f t="shared" si="1"/>
        <v>-</v>
      </c>
    </row>
    <row r="32" spans="1:6" ht="33" customHeight="1">
      <c r="A32" s="31" t="s">
        <v>120</v>
      </c>
      <c r="B32" s="37" t="s">
        <v>123</v>
      </c>
      <c r="C32" s="81">
        <v>0</v>
      </c>
      <c r="D32" s="25">
        <f t="shared" si="2"/>
        <v>0</v>
      </c>
      <c r="E32" s="96" t="str">
        <f t="shared" si="0"/>
        <v>-</v>
      </c>
      <c r="F32" s="97" t="str">
        <f t="shared" si="1"/>
        <v>-</v>
      </c>
    </row>
    <row r="33" spans="1:6" ht="33" customHeight="1">
      <c r="A33" s="31" t="s">
        <v>121</v>
      </c>
      <c r="B33" s="37" t="s">
        <v>186</v>
      </c>
      <c r="C33" s="81">
        <v>0</v>
      </c>
      <c r="D33" s="25">
        <f t="shared" si="2"/>
        <v>0</v>
      </c>
      <c r="E33" s="96" t="str">
        <f t="shared" si="0"/>
        <v>-</v>
      </c>
      <c r="F33" s="97" t="str">
        <f t="shared" si="1"/>
        <v>-</v>
      </c>
    </row>
    <row r="34" spans="1:6" ht="51.75" customHeight="1">
      <c r="A34" s="31" t="s">
        <v>246</v>
      </c>
      <c r="B34" s="37" t="s">
        <v>247</v>
      </c>
      <c r="C34" s="81">
        <v>0</v>
      </c>
      <c r="D34" s="25">
        <f t="shared" si="2"/>
        <v>0</v>
      </c>
      <c r="E34" s="96" t="str">
        <f>IF(C34=D34,"-",D34-C34)</f>
        <v>-</v>
      </c>
      <c r="F34" s="97" t="str">
        <f>IF(C34=0,"-",D34/C34)</f>
        <v>-</v>
      </c>
    </row>
    <row r="35" spans="1:6" s="5" customFormat="1" ht="31.5" customHeight="1">
      <c r="A35" s="32" t="s">
        <v>59</v>
      </c>
      <c r="B35" s="38" t="s">
        <v>60</v>
      </c>
      <c r="C35" s="84">
        <v>0</v>
      </c>
      <c r="D35" s="92">
        <f>C35</f>
        <v>0</v>
      </c>
      <c r="E35" s="15" t="str">
        <f t="shared" si="0"/>
        <v>-</v>
      </c>
      <c r="F35" s="98" t="str">
        <f t="shared" si="1"/>
        <v>-</v>
      </c>
    </row>
    <row r="36" spans="1:6" s="5" customFormat="1" ht="31.5" customHeight="1">
      <c r="A36" s="32" t="s">
        <v>58</v>
      </c>
      <c r="B36" s="38" t="s">
        <v>61</v>
      </c>
      <c r="C36" s="84">
        <v>139169</v>
      </c>
      <c r="D36" s="93">
        <f>C36</f>
        <v>139169</v>
      </c>
      <c r="E36" s="15" t="str">
        <f t="shared" si="0"/>
        <v>-</v>
      </c>
      <c r="F36" s="98">
        <f t="shared" si="1"/>
        <v>1</v>
      </c>
    </row>
    <row r="37" spans="1:6" s="5" customFormat="1" ht="42.75" customHeight="1">
      <c r="A37" s="32" t="s">
        <v>176</v>
      </c>
      <c r="B37" s="38" t="s">
        <v>177</v>
      </c>
      <c r="C37" s="84">
        <v>964558</v>
      </c>
      <c r="D37" s="84">
        <f>D12+D14+D25+D31</f>
        <v>964558</v>
      </c>
      <c r="E37" s="15" t="str">
        <f t="shared" si="0"/>
        <v>-</v>
      </c>
      <c r="F37" s="98">
        <f t="shared" si="1"/>
        <v>1</v>
      </c>
    </row>
    <row r="38" spans="1:6" s="3" customFormat="1" ht="30" customHeight="1">
      <c r="A38" s="26" t="s">
        <v>16</v>
      </c>
      <c r="B38" s="46" t="s">
        <v>250</v>
      </c>
      <c r="C38" s="24">
        <f>C39+C40+C41+C49+C51+C57+C58+C56</f>
        <v>40940</v>
      </c>
      <c r="D38" s="24">
        <f>D39+D40+D41+D49+D51+D57+D58+D56</f>
        <v>40940</v>
      </c>
      <c r="E38" s="13" t="str">
        <f t="shared" si="0"/>
        <v>-</v>
      </c>
      <c r="F38" s="99">
        <f t="shared" si="1"/>
        <v>1</v>
      </c>
    </row>
    <row r="39" spans="1:6" ht="28.5" customHeight="1">
      <c r="A39" s="31" t="s">
        <v>17</v>
      </c>
      <c r="B39" s="40" t="s">
        <v>18</v>
      </c>
      <c r="C39" s="81">
        <v>1699</v>
      </c>
      <c r="D39" s="85">
        <f>C39</f>
        <v>1699</v>
      </c>
      <c r="E39" s="96" t="str">
        <f t="shared" si="0"/>
        <v>-</v>
      </c>
      <c r="F39" s="97">
        <f t="shared" si="1"/>
        <v>1</v>
      </c>
    </row>
    <row r="40" spans="1:6" ht="28.5" customHeight="1">
      <c r="A40" s="31" t="s">
        <v>19</v>
      </c>
      <c r="B40" s="40" t="s">
        <v>20</v>
      </c>
      <c r="C40" s="81">
        <v>4681</v>
      </c>
      <c r="D40" s="85">
        <f>C40</f>
        <v>4681</v>
      </c>
      <c r="E40" s="96" t="str">
        <f t="shared" si="0"/>
        <v>-</v>
      </c>
      <c r="F40" s="97">
        <f t="shared" si="1"/>
        <v>1</v>
      </c>
    </row>
    <row r="41" spans="1:6" ht="28.5" customHeight="1">
      <c r="A41" s="31" t="s">
        <v>21</v>
      </c>
      <c r="B41" s="41" t="s">
        <v>251</v>
      </c>
      <c r="C41" s="85">
        <f>C42+C44+C45+C46+C47+C48</f>
        <v>281</v>
      </c>
      <c r="D41" s="85">
        <f>D42+D44+D45+D46+D47+D48</f>
        <v>281</v>
      </c>
      <c r="E41" s="96" t="str">
        <f t="shared" si="0"/>
        <v>-</v>
      </c>
      <c r="F41" s="97">
        <f t="shared" si="1"/>
        <v>1</v>
      </c>
    </row>
    <row r="42" spans="1:6" ht="28.5" customHeight="1">
      <c r="A42" s="42" t="s">
        <v>39</v>
      </c>
      <c r="B42" s="43" t="s">
        <v>32</v>
      </c>
      <c r="C42" s="81">
        <v>23</v>
      </c>
      <c r="D42" s="85">
        <f>C42</f>
        <v>23</v>
      </c>
      <c r="E42" s="96" t="str">
        <f t="shared" si="0"/>
        <v>-</v>
      </c>
      <c r="F42" s="97">
        <f t="shared" si="1"/>
        <v>1</v>
      </c>
    </row>
    <row r="43" spans="1:6" ht="28.5" customHeight="1">
      <c r="A43" s="42" t="s">
        <v>40</v>
      </c>
      <c r="B43" s="44" t="s">
        <v>33</v>
      </c>
      <c r="C43" s="81">
        <v>23</v>
      </c>
      <c r="D43" s="85">
        <f>C43</f>
        <v>23</v>
      </c>
      <c r="E43" s="96" t="str">
        <f t="shared" si="0"/>
        <v>-</v>
      </c>
      <c r="F43" s="97">
        <f t="shared" si="1"/>
        <v>1</v>
      </c>
    </row>
    <row r="44" spans="1:6" ht="28.5" customHeight="1">
      <c r="A44" s="42" t="s">
        <v>41</v>
      </c>
      <c r="B44" s="43" t="s">
        <v>34</v>
      </c>
      <c r="C44" s="81">
        <v>50</v>
      </c>
      <c r="D44" s="85">
        <f>C44</f>
        <v>50</v>
      </c>
      <c r="E44" s="96" t="str">
        <f t="shared" si="0"/>
        <v>-</v>
      </c>
      <c r="F44" s="97">
        <f t="shared" si="1"/>
        <v>1</v>
      </c>
    </row>
    <row r="45" spans="1:6" ht="28.5" customHeight="1">
      <c r="A45" s="42" t="s">
        <v>42</v>
      </c>
      <c r="B45" s="43" t="s">
        <v>35</v>
      </c>
      <c r="C45" s="81">
        <v>0</v>
      </c>
      <c r="D45" s="85">
        <f aca="true" t="shared" si="3" ref="D45:D58">C45</f>
        <v>0</v>
      </c>
      <c r="E45" s="96" t="str">
        <f t="shared" si="0"/>
        <v>-</v>
      </c>
      <c r="F45" s="97" t="str">
        <f t="shared" si="1"/>
        <v>-</v>
      </c>
    </row>
    <row r="46" spans="1:6" ht="28.5" customHeight="1">
      <c r="A46" s="42" t="s">
        <v>43</v>
      </c>
      <c r="B46" s="43" t="s">
        <v>36</v>
      </c>
      <c r="C46" s="81">
        <v>0</v>
      </c>
      <c r="D46" s="85">
        <f t="shared" si="3"/>
        <v>0</v>
      </c>
      <c r="E46" s="96" t="str">
        <f t="shared" si="0"/>
        <v>-</v>
      </c>
      <c r="F46" s="97" t="str">
        <f t="shared" si="1"/>
        <v>-</v>
      </c>
    </row>
    <row r="47" spans="1:6" ht="28.5" customHeight="1">
      <c r="A47" s="42" t="s">
        <v>44</v>
      </c>
      <c r="B47" s="43" t="s">
        <v>37</v>
      </c>
      <c r="C47" s="81">
        <v>153</v>
      </c>
      <c r="D47" s="85">
        <f t="shared" si="3"/>
        <v>153</v>
      </c>
      <c r="E47" s="96" t="str">
        <f t="shared" si="0"/>
        <v>-</v>
      </c>
      <c r="F47" s="97">
        <f t="shared" si="1"/>
        <v>1</v>
      </c>
    </row>
    <row r="48" spans="1:6" ht="28.5" customHeight="1">
      <c r="A48" s="42" t="s">
        <v>45</v>
      </c>
      <c r="B48" s="43" t="s">
        <v>38</v>
      </c>
      <c r="C48" s="81">
        <v>55</v>
      </c>
      <c r="D48" s="85">
        <f t="shared" si="3"/>
        <v>55</v>
      </c>
      <c r="E48" s="96" t="str">
        <f t="shared" si="0"/>
        <v>-</v>
      </c>
      <c r="F48" s="97">
        <f t="shared" si="1"/>
        <v>1</v>
      </c>
    </row>
    <row r="49" spans="1:6" ht="28.5" customHeight="1">
      <c r="A49" s="31" t="s">
        <v>22</v>
      </c>
      <c r="B49" s="40" t="s">
        <v>178</v>
      </c>
      <c r="C49" s="81">
        <v>21915</v>
      </c>
      <c r="D49" s="85">
        <f t="shared" si="3"/>
        <v>21915</v>
      </c>
      <c r="E49" s="96" t="str">
        <f t="shared" si="0"/>
        <v>-</v>
      </c>
      <c r="F49" s="97">
        <f t="shared" si="1"/>
        <v>1</v>
      </c>
    </row>
    <row r="50" spans="1:6" ht="28.5" customHeight="1">
      <c r="A50" s="42" t="s">
        <v>179</v>
      </c>
      <c r="B50" s="43" t="s">
        <v>180</v>
      </c>
      <c r="C50" s="81">
        <v>24</v>
      </c>
      <c r="D50" s="85">
        <f t="shared" si="3"/>
        <v>24</v>
      </c>
      <c r="E50" s="96" t="str">
        <f t="shared" si="0"/>
        <v>-</v>
      </c>
      <c r="F50" s="97">
        <f t="shared" si="1"/>
        <v>1</v>
      </c>
    </row>
    <row r="51" spans="1:6" ht="28.5" customHeight="1">
      <c r="A51" s="31" t="s">
        <v>23</v>
      </c>
      <c r="B51" s="41" t="s">
        <v>252</v>
      </c>
      <c r="C51" s="77">
        <f>SUM(C52:C55)</f>
        <v>4864</v>
      </c>
      <c r="D51" s="77">
        <f>SUM(D52:D55)</f>
        <v>4864</v>
      </c>
      <c r="E51" s="96" t="str">
        <f t="shared" si="0"/>
        <v>-</v>
      </c>
      <c r="F51" s="97">
        <f t="shared" si="1"/>
        <v>1</v>
      </c>
    </row>
    <row r="52" spans="1:6" ht="28.5" customHeight="1">
      <c r="A52" s="42" t="s">
        <v>50</v>
      </c>
      <c r="B52" s="43" t="s">
        <v>46</v>
      </c>
      <c r="C52" s="81">
        <v>3737</v>
      </c>
      <c r="D52" s="85">
        <f t="shared" si="3"/>
        <v>3737</v>
      </c>
      <c r="E52" s="96" t="str">
        <f t="shared" si="0"/>
        <v>-</v>
      </c>
      <c r="F52" s="97">
        <f t="shared" si="1"/>
        <v>1</v>
      </c>
    </row>
    <row r="53" spans="1:6" ht="28.5" customHeight="1">
      <c r="A53" s="42" t="s">
        <v>51</v>
      </c>
      <c r="B53" s="43" t="s">
        <v>47</v>
      </c>
      <c r="C53" s="81">
        <v>517</v>
      </c>
      <c r="D53" s="85">
        <f t="shared" si="3"/>
        <v>517</v>
      </c>
      <c r="E53" s="96" t="str">
        <f t="shared" si="0"/>
        <v>-</v>
      </c>
      <c r="F53" s="97">
        <f t="shared" si="1"/>
        <v>1</v>
      </c>
    </row>
    <row r="54" spans="1:6" ht="28.5" customHeight="1">
      <c r="A54" s="42" t="s">
        <v>52</v>
      </c>
      <c r="B54" s="43" t="s">
        <v>48</v>
      </c>
      <c r="C54" s="81">
        <v>0</v>
      </c>
      <c r="D54" s="85">
        <f t="shared" si="3"/>
        <v>0</v>
      </c>
      <c r="E54" s="96" t="str">
        <f t="shared" si="0"/>
        <v>-</v>
      </c>
      <c r="F54" s="97" t="str">
        <f t="shared" si="1"/>
        <v>-</v>
      </c>
    </row>
    <row r="55" spans="1:6" ht="28.5" customHeight="1">
      <c r="A55" s="42" t="s">
        <v>53</v>
      </c>
      <c r="B55" s="43" t="s">
        <v>49</v>
      </c>
      <c r="C55" s="81">
        <v>610</v>
      </c>
      <c r="D55" s="85">
        <f t="shared" si="3"/>
        <v>610</v>
      </c>
      <c r="E55" s="96" t="str">
        <f t="shared" si="0"/>
        <v>-</v>
      </c>
      <c r="F55" s="97">
        <f t="shared" si="1"/>
        <v>1</v>
      </c>
    </row>
    <row r="56" spans="1:6" ht="28.5" customHeight="1">
      <c r="A56" s="31" t="s">
        <v>24</v>
      </c>
      <c r="B56" s="40" t="s">
        <v>25</v>
      </c>
      <c r="C56" s="81">
        <v>0</v>
      </c>
      <c r="D56" s="85">
        <f t="shared" si="3"/>
        <v>0</v>
      </c>
      <c r="E56" s="96" t="str">
        <f t="shared" si="0"/>
        <v>-</v>
      </c>
      <c r="F56" s="97" t="str">
        <f t="shared" si="1"/>
        <v>-</v>
      </c>
    </row>
    <row r="57" spans="1:6" ht="28.5" customHeight="1">
      <c r="A57" s="31" t="s">
        <v>26</v>
      </c>
      <c r="B57" s="40" t="s">
        <v>181</v>
      </c>
      <c r="C57" s="81">
        <v>7200</v>
      </c>
      <c r="D57" s="85">
        <f t="shared" si="3"/>
        <v>7200</v>
      </c>
      <c r="E57" s="96" t="str">
        <f t="shared" si="0"/>
        <v>-</v>
      </c>
      <c r="F57" s="100">
        <f t="shared" si="1"/>
        <v>1</v>
      </c>
    </row>
    <row r="58" spans="1:6" ht="28.5" customHeight="1">
      <c r="A58" s="31" t="s">
        <v>27</v>
      </c>
      <c r="B58" s="40" t="s">
        <v>28</v>
      </c>
      <c r="C58" s="81">
        <v>300</v>
      </c>
      <c r="D58" s="85">
        <f t="shared" si="3"/>
        <v>300</v>
      </c>
      <c r="E58" s="96" t="str">
        <f t="shared" si="0"/>
        <v>-</v>
      </c>
      <c r="F58" s="97">
        <f t="shared" si="1"/>
        <v>1</v>
      </c>
    </row>
    <row r="59" spans="1:6" s="3" customFormat="1" ht="30" customHeight="1">
      <c r="A59" s="33" t="s">
        <v>29</v>
      </c>
      <c r="B59" s="45" t="s">
        <v>182</v>
      </c>
      <c r="C59" s="27">
        <f>C60+C61+C62+C63</f>
        <v>20960</v>
      </c>
      <c r="D59" s="27">
        <f>D60+D61+D62+D63</f>
        <v>19500</v>
      </c>
      <c r="E59" s="13">
        <f t="shared" si="0"/>
        <v>-1460</v>
      </c>
      <c r="F59" s="101">
        <f t="shared" si="1"/>
        <v>0.9303</v>
      </c>
    </row>
    <row r="60" spans="1:6" ht="42" customHeight="1">
      <c r="A60" s="31" t="s">
        <v>102</v>
      </c>
      <c r="B60" s="40" t="s">
        <v>124</v>
      </c>
      <c r="C60" s="81">
        <v>0</v>
      </c>
      <c r="D60" s="85">
        <f>C60</f>
        <v>0</v>
      </c>
      <c r="E60" s="77" t="str">
        <f t="shared" si="0"/>
        <v>-</v>
      </c>
      <c r="F60" s="97" t="str">
        <f t="shared" si="1"/>
        <v>-</v>
      </c>
    </row>
    <row r="61" spans="1:6" ht="31.5" customHeight="1">
      <c r="A61" s="31" t="s">
        <v>30</v>
      </c>
      <c r="B61" s="40" t="s">
        <v>56</v>
      </c>
      <c r="C61" s="81">
        <v>18295</v>
      </c>
      <c r="D61" s="85">
        <f>C61-5795</f>
        <v>12500</v>
      </c>
      <c r="E61" s="77">
        <f t="shared" si="0"/>
        <v>-5795</v>
      </c>
      <c r="F61" s="97">
        <f t="shared" si="1"/>
        <v>0.6832</v>
      </c>
    </row>
    <row r="62" spans="1:6" ht="31.5" customHeight="1">
      <c r="A62" s="31" t="s">
        <v>31</v>
      </c>
      <c r="B62" s="40" t="s">
        <v>104</v>
      </c>
      <c r="C62" s="81">
        <v>0</v>
      </c>
      <c r="D62" s="85">
        <f>C62</f>
        <v>0</v>
      </c>
      <c r="E62" s="77" t="str">
        <f t="shared" si="0"/>
        <v>-</v>
      </c>
      <c r="F62" s="97" t="str">
        <f t="shared" si="1"/>
        <v>-</v>
      </c>
    </row>
    <row r="63" spans="1:6" ht="31.5" customHeight="1">
      <c r="A63" s="31" t="s">
        <v>103</v>
      </c>
      <c r="B63" s="40" t="s">
        <v>105</v>
      </c>
      <c r="C63" s="81">
        <v>2665</v>
      </c>
      <c r="D63" s="85">
        <f>C63+4335</f>
        <v>7000</v>
      </c>
      <c r="E63" s="77">
        <f t="shared" si="0"/>
        <v>4335</v>
      </c>
      <c r="F63" s="97">
        <f t="shared" si="1"/>
        <v>2.6266</v>
      </c>
    </row>
    <row r="64" spans="1:6" ht="32.25" customHeight="1">
      <c r="A64" s="33" t="s">
        <v>110</v>
      </c>
      <c r="B64" s="45" t="s">
        <v>129</v>
      </c>
      <c r="C64" s="27">
        <v>300</v>
      </c>
      <c r="D64" s="27">
        <f>C64+5600</f>
        <v>5900</v>
      </c>
      <c r="E64" s="13">
        <f t="shared" si="0"/>
        <v>5600</v>
      </c>
      <c r="F64" s="101">
        <f t="shared" si="1"/>
        <v>19.6667</v>
      </c>
    </row>
  </sheetData>
  <sheetProtection formatCells="0" formatColumns="0" formatRows="0" insertColumns="0" insertRows="0" insertHyperlinks="0" deleteColumns="0" deleteRows="0"/>
  <mergeCells count="7">
    <mergeCell ref="F4:F5"/>
    <mergeCell ref="A1:F1"/>
    <mergeCell ref="A4:A5"/>
    <mergeCell ref="B4:B5"/>
    <mergeCell ref="C4:C5"/>
    <mergeCell ref="D4:D5"/>
    <mergeCell ref="E4:E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8" r:id="rId1"/>
  <headerFooter alignWithMargins="0">
    <oddFooter>&amp;R&amp;20&amp;P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Rosińska Edyta</dc:creator>
  <cp:keywords/>
  <dc:description/>
  <cp:lastModifiedBy>Tyszka Norbert</cp:lastModifiedBy>
  <cp:lastPrinted>2014-12-22T10:50:33Z</cp:lastPrinted>
  <dcterms:created xsi:type="dcterms:W3CDTF">2005-07-21T09:51:05Z</dcterms:created>
  <dcterms:modified xsi:type="dcterms:W3CDTF">2015-01-19T08:59:02Z</dcterms:modified>
  <cp:category/>
  <cp:version/>
  <cp:contentType/>
  <cp:contentStatus/>
</cp:coreProperties>
</file>