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2120" windowHeight="8250" tabRatio="910" activeTab="0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C">[0]!__C</definedName>
    <definedName name="_1_0_0kos">'[1]plan'!#REF!</definedName>
    <definedName name="_2_0_0ra">'[1]plan'!#REF!</definedName>
    <definedName name="_C" localSheetId="2">'Razem OW'!_C</definedName>
    <definedName name="_C" localSheetId="18">'Zachodniopomorski'!_C</definedName>
    <definedName name="_C">'Razem OW'!_C</definedName>
    <definedName name="A" localSheetId="2">'Razem OW'!A</definedName>
    <definedName name="A" localSheetId="18">'Zachodniopomorski'!A</definedName>
    <definedName name="A">'Razem OW'!A</definedName>
    <definedName name="A_2">[0]!A_2</definedName>
    <definedName name="aa" localSheetId="2">'Razem OW'!aa</definedName>
    <definedName name="aa" localSheetId="18">'Zachodniopomorski'!aa</definedName>
    <definedName name="aa">'Razem OW'!aa</definedName>
    <definedName name="aa_2">[0]!aa_2</definedName>
    <definedName name="B">[0]!B</definedName>
    <definedName name="BILANS">'[2]plan'!#REF!</definedName>
    <definedName name="BILANSSPZ">'[2]plan'!#REF!</definedName>
    <definedName name="BV" localSheetId="2">'Razem OW'!BV</definedName>
    <definedName name="BV" localSheetId="18">'Zachodniopomorski'!BV</definedName>
    <definedName name="BV">'Razem OW'!BV</definedName>
    <definedName name="cr" localSheetId="2">'Razem OW'!cr</definedName>
    <definedName name="cr" localSheetId="18">'Zachodniopomorski'!cr</definedName>
    <definedName name="cr">'Razem OW'!cr</definedName>
    <definedName name="d" localSheetId="2">'Razem OW'!d</definedName>
    <definedName name="d" localSheetId="18">'Zachodniopomorski'!d</definedName>
    <definedName name="d">'Razem OW'!d</definedName>
    <definedName name="depozyty">#REF!</definedName>
    <definedName name="g">[0]!g</definedName>
    <definedName name="koszty">'[1]plan'!#REF!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'Zachodniopomorski'!mn</definedName>
    <definedName name="mn">'Razem OW'!mn</definedName>
    <definedName name="mon" localSheetId="2">'Razem OW'!mon</definedName>
    <definedName name="mon" localSheetId="18">'Zachodniopomorski'!mon</definedName>
    <definedName name="mon">'Razem OW'!mon</definedName>
    <definedName name="naleznosci">#REF!</definedName>
    <definedName name="_xlnm.Print_Area" localSheetId="1">'CENTRALA'!$A$1:$F$56</definedName>
    <definedName name="_xlnm.Print_Area" localSheetId="3">'Dolnośląski'!$A$1:$F$56</definedName>
    <definedName name="_xlnm.Print_Area" localSheetId="4">'KujawskoPomorski'!$A$1:$F$56</definedName>
    <definedName name="_xlnm.Print_Area" localSheetId="5">'Lubelski'!$A$1:$F$56</definedName>
    <definedName name="_xlnm.Print_Area" localSheetId="6">'Lubuski'!$A$1:$F$56</definedName>
    <definedName name="_xlnm.Print_Area" localSheetId="7">'Łódzki'!$A$1:$F$56</definedName>
    <definedName name="_xlnm.Print_Area" localSheetId="8">'Małopolski'!$A$1:$F$56</definedName>
    <definedName name="_xlnm.Print_Area" localSheetId="9">'Mazowiecki'!$A$1:$F$56</definedName>
    <definedName name="_xlnm.Print_Area" localSheetId="0">'NFZ'!$A$1:$F$91</definedName>
    <definedName name="_xlnm.Print_Area" localSheetId="10">'Opolski'!$A$1:$F$56</definedName>
    <definedName name="_xlnm.Print_Area" localSheetId="11">'Podkarpacki'!$A$1:$F$56</definedName>
    <definedName name="_xlnm.Print_Area" localSheetId="12">'Podlaski'!$A$1:$F$56</definedName>
    <definedName name="_xlnm.Print_Area" localSheetId="13">'Pomorski'!$A$1:$F$56</definedName>
    <definedName name="_xlnm.Print_Area" localSheetId="2">'Razem OW'!$A$1:$F$56</definedName>
    <definedName name="_xlnm.Print_Area" localSheetId="14">'Śląski'!$A$1:$F$56</definedName>
    <definedName name="_xlnm.Print_Area" localSheetId="15">'Świętokrzyski'!$A$1:$F$56</definedName>
    <definedName name="_xlnm.Print_Area" localSheetId="16">'WarmińskoMazurski'!$A$1:$F$56</definedName>
    <definedName name="_xlnm.Print_Area" localSheetId="17">'Wielkopolski'!$A$1:$F$56</definedName>
    <definedName name="_xlnm.Print_Area" localSheetId="18">'Zachodniopomorski'!$A$1:$F$56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'Zachodniopomorski'!rgds</definedName>
    <definedName name="rgds">'Razem OW'!rgds</definedName>
    <definedName name="_xlnm.Print_Titles" localSheetId="0">'NFZ'!$1:$6</definedName>
    <definedName name="wybkosz1">#REF!</definedName>
    <definedName name="wybkosz2">#REF!</definedName>
    <definedName name="za" localSheetId="2">'Razem OW'!za</definedName>
    <definedName name="za" localSheetId="18">'Zachodniopomorski'!za</definedName>
    <definedName name="za">'Razem OW'!za</definedName>
  </definedNames>
  <calcPr fullCalcOnLoad="1" fullPrecision="0"/>
</workbook>
</file>

<file path=xl/comments2.xml><?xml version="1.0" encoding="utf-8"?>
<comments xmlns="http://schemas.openxmlformats.org/spreadsheetml/2006/main">
  <authors>
    <author>marian.mackiewicz</author>
  </authors>
  <commentList>
    <comment ref="C52" authorId="0">
      <text>
        <r>
          <rPr>
            <b/>
            <sz val="14"/>
            <rFont val="Tahoma"/>
            <family val="2"/>
          </rPr>
          <t>marian.mackiewicz:</t>
        </r>
        <r>
          <rPr>
            <sz val="14"/>
            <rFont val="Tahoma"/>
            <family val="2"/>
          </rPr>
          <t xml:space="preserve">
EKUZ = 610</t>
        </r>
      </text>
    </comment>
  </commentList>
</comments>
</file>

<file path=xl/sharedStrings.xml><?xml version="1.0" encoding="utf-8"?>
<sst xmlns="http://schemas.openxmlformats.org/spreadsheetml/2006/main" count="2194" uniqueCount="204">
  <si>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</si>
  <si>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</si>
  <si>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</si>
  <si>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</si>
  <si>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</si>
  <si>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</si>
  <si>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</si>
  <si>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</si>
  <si>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</si>
  <si>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</si>
  <si>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</si>
  <si>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</si>
  <si>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</si>
  <si>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</si>
  <si>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</si>
  <si>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</si>
  <si>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</si>
  <si>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</si>
  <si>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Koszty administracyjne ( D1+...+D9 ), w tym</t>
  </si>
  <si>
    <t>D1</t>
  </si>
  <si>
    <t>zużycie materiałów i energii</t>
  </si>
  <si>
    <t>D2</t>
  </si>
  <si>
    <t>usługi obce</t>
  </si>
  <si>
    <t>D3</t>
  </si>
  <si>
    <t>D4</t>
  </si>
  <si>
    <t>wynagrodzenia</t>
  </si>
  <si>
    <t>D5</t>
  </si>
  <si>
    <t>D6</t>
  </si>
  <si>
    <t>koszty funkcjonowania Rady Funduszu</t>
  </si>
  <si>
    <t>D7</t>
  </si>
  <si>
    <t>D8</t>
  </si>
  <si>
    <t>amortyzacja środków trwałych oraz wartości niematerialnych i prawnych otrzymanych nieodpłatnie</t>
  </si>
  <si>
    <t>D9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</si>
  <si>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</si>
  <si>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</si>
  <si>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</si>
  <si>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</si>
  <si>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</si>
  <si>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</si>
  <si>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</si>
  <si>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</si>
  <si>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</si>
  <si>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</si>
  <si>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</si>
  <si>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</si>
  <si>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</si>
  <si>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</si>
  <si>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</si>
  <si>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</si>
  <si>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</si>
  <si>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</si>
  <si>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</si>
  <si>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</si>
  <si>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</si>
  <si>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</si>
  <si>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</si>
  <si>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</si>
  <si>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</si>
  <si>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</si>
  <si>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</si>
  <si>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</si>
  <si>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</si>
  <si>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</si>
  <si>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</si>
  <si>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</si>
  <si>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</si>
  <si>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refundacja cen leków, o których mowa w art. 36 ust. 4 ustawy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</si>
  <si>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</si>
  <si>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</si>
  <si>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</si>
  <si>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</si>
  <si>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</si>
  <si>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</si>
  <si>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</si>
  <si>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</si>
  <si>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</si>
  <si>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</si>
  <si>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</si>
  <si>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</si>
  <si>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</si>
  <si>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</si>
  <si>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</si>
  <si>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</si>
  <si>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</si>
  <si>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</si>
  <si>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</si>
  <si>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</si>
  <si>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3</t>
  </si>
  <si>
    <t>Razem OW NFZ</t>
  </si>
  <si>
    <t>Centrala Narodowego Funduszu Zdrowia</t>
  </si>
  <si>
    <t>[w tys. zł]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</si>
  <si>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</si>
  <si>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</si>
  <si>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</si>
  <si>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</si>
  <si>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</si>
  <si>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</si>
  <si>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</si>
  <si>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</si>
  <si>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</si>
  <si>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</si>
  <si>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</si>
  <si>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</si>
  <si>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</si>
  <si>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</si>
  <si>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</si>
  <si>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</si>
  <si>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</si>
  <si>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</si>
  <si>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</si>
  <si>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</si>
  <si>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</si>
  <si>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</si>
  <si>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</si>
  <si>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</si>
  <si>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</si>
  <si>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amortyzacja środków trwałych oraz wartości niematerialnych i prawnych zakupionych ze środków własnych Funduszu</t>
  </si>
  <si>
    <t>E1</t>
  </si>
  <si>
    <t>inne przychody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</si>
  <si>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</si>
  <si>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</si>
  <si>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</si>
  <si>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</si>
  <si>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</si>
  <si>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</si>
  <si>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</si>
  <si>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</si>
  <si>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</si>
  <si>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</si>
  <si>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</si>
  <si>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</si>
  <si>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</si>
  <si>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</si>
  <si>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</si>
  <si>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</si>
  <si>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Przychody i koszty Narodowego Funduszu Zdrowia - łącznie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</si>
  <si>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</si>
  <si>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</si>
  <si>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</si>
  <si>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</si>
  <si>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</si>
  <si>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</si>
  <si>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</si>
  <si>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Koszty świadczeń zdrowotnych  (B2.1+...+B2.18), w tym:</t>
  </si>
  <si>
    <t>wydanie i utrzymanie kart ubezpieczenia (w tym części stałych i zamiennych książeczek usług medycznych) oraz recept</t>
  </si>
  <si>
    <r>
      <t>dotacje z budżetu państwa na finansowanie zadań, o których mowa w art. 97 ust. 3 pkt 2a, 3 i 3b ustawy, uwzględniające koszty administracyjne</t>
    </r>
    <r>
      <rPr>
        <b/>
        <vertAlign val="superscript"/>
        <sz val="16"/>
        <rFont val="Times New Roman CE"/>
        <family val="0"/>
      </rPr>
      <t>*)</t>
    </r>
  </si>
  <si>
    <t>Zyski i straty nadzwyczajne (J1 - J2)</t>
  </si>
  <si>
    <t>Wynik fiansowy ogółem brutto (I + J)</t>
  </si>
  <si>
    <t>Przychody finansowe (G1 + G2), w tym:</t>
  </si>
  <si>
    <t>Koszty administracyjne (D1 + … + D9), w tym:</t>
  </si>
  <si>
    <t>Wynik na działalności (A - B)</t>
  </si>
  <si>
    <t>Koszty realizacji zadań (B1 + B2 + B3 + B4)</t>
  </si>
  <si>
    <t>Planowany odpis aktualizujący składkę należną
(2.1 + 2.2), w tym:</t>
  </si>
  <si>
    <t>E2</t>
  </si>
  <si>
    <t>Koszt poboru i ewidencjonowania składek
( 4.1 + 4.2 ),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</si>
  <si>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</si>
  <si>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</si>
  <si>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</si>
  <si>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</si>
  <si>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Plan 
po zmianie</t>
  </si>
  <si>
    <t>4</t>
  </si>
  <si>
    <t>5</t>
  </si>
  <si>
    <t>6</t>
  </si>
  <si>
    <t>Dynamika
kol.4/kol.3</t>
  </si>
  <si>
    <t>Różnica 
kol.4-kol.3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</si>
  <si>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</si>
  <si>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</si>
  <si>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</si>
  <si>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</si>
  <si>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</si>
  <si>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</si>
  <si>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</si>
  <si>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</si>
  <si>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</si>
  <si>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refundacja cen leków, w tym:</t>
  </si>
  <si>
    <t>Pozostałe koszty (F1+F2+F3+F4)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</si>
  <si>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</si>
  <si>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</si>
  <si>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</si>
  <si>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</si>
  <si>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r>
      <t xml:space="preserve">Różnica 
</t>
    </r>
    <r>
      <rPr>
        <b/>
        <sz val="14"/>
        <rFont val="Times New Roman CE"/>
        <family val="0"/>
      </rPr>
      <t>kol.4-kol.3</t>
    </r>
  </si>
  <si>
    <r>
      <t xml:space="preserve">Dynamika
</t>
    </r>
    <r>
      <rPr>
        <b/>
        <sz val="14"/>
        <rFont val="Times New Roman CE"/>
        <family val="0"/>
      </rPr>
      <t>kol.4/kol.3</t>
    </r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</si>
  <si>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</si>
  <si>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</si>
  <si>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</si>
  <si>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</si>
  <si>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</si>
  <si>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</si>
  <si>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</si>
  <si>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Koszty świadczeń zdrowotnych  (B2.1 + … + B2.18), w tym:</t>
  </si>
  <si>
    <t>Pozostałe przychody (E1 + E2),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</si>
  <si>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</si>
  <si>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</si>
  <si>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</si>
  <si>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</si>
  <si>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</si>
  <si>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</si>
  <si>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</si>
  <si>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</si>
  <si>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</si>
  <si>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</si>
  <si>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darowizny i zapisy otrzymane, w tym kwota umorzenia majątku otrzymanego nieodpłatnie wynikająca z rozliczeń międzyokresowych przypadająca na rok planowania</t>
  </si>
  <si>
    <t>Plan na
2010 rok</t>
  </si>
  <si>
    <t>ZMIANA PLANU FINANSOWEGO NARODOWEGO FUNDUSZU ZDROWIA NA 2010 ROK Z 16 GRUDNIA 2009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</si>
</sst>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.0"/>
  </numFmts>
  <fonts count="53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b/>
      <sz val="20"/>
      <name val="Verdana"/>
      <family val="2"/>
    </font>
    <font>
      <sz val="10"/>
      <name val="Verdana"/>
      <family val="2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8"/>
      <name val="Times New Roman CE"/>
      <family val="0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b/>
      <vertAlign val="superscript"/>
      <sz val="16"/>
      <name val="Times New Roman CE"/>
      <family val="0"/>
    </font>
    <font>
      <sz val="1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name val="Times New Roman CE"/>
      <family val="0"/>
    </font>
    <font>
      <b/>
      <sz val="22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0" borderId="1" applyNumberFormat="0" applyAlignment="0" applyProtection="0"/>
    <xf numFmtId="9" fontId="0" fillId="0" borderId="0" applyFont="0" applyFill="0" applyBorder="0" applyAlignment="0" applyProtection="0"/>
    <xf numFmtId="0" fontId="29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4" fillId="24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20" borderId="0" xfId="0" applyFont="1" applyFill="1" applyAlignment="1" applyProtection="1">
      <alignment vertical="center"/>
      <protection locked="0"/>
    </xf>
    <xf numFmtId="0" fontId="6" fillId="2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2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20" borderId="0" xfId="0" applyFont="1" applyFill="1" applyAlignment="1">
      <alignment vertical="center"/>
    </xf>
    <xf numFmtId="0" fontId="2" fillId="20" borderId="0" xfId="0" applyFont="1" applyFill="1" applyAlignment="1">
      <alignment/>
    </xf>
    <xf numFmtId="3" fontId="13" fillId="20" borderId="10" xfId="0" applyNumberFormat="1" applyFont="1" applyFill="1" applyBorder="1" applyAlignment="1">
      <alignment horizontal="right" vertical="center"/>
    </xf>
    <xf numFmtId="0" fontId="18" fillId="20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13" fillId="20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68" applyFont="1" applyFill="1" applyBorder="1" applyAlignment="1" applyProtection="1">
      <alignment horizontal="center" vertical="center" wrapText="1"/>
      <protection/>
    </xf>
    <xf numFmtId="0" fontId="17" fillId="0" borderId="0" xfId="67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21" fillId="0" borderId="0" xfId="68" applyFont="1" applyFill="1" applyBorder="1" applyAlignment="1" applyProtection="1">
      <alignment horizontal="left" vertical="center"/>
      <protection/>
    </xf>
    <xf numFmtId="10" fontId="11" fillId="0" borderId="0" xfId="67" applyNumberFormat="1" applyFont="1" applyFill="1" applyBorder="1" applyAlignment="1" applyProtection="1">
      <alignment horizontal="left" vertical="center" wrapText="1"/>
      <protection/>
    </xf>
    <xf numFmtId="0" fontId="11" fillId="0" borderId="0" xfId="67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3" fontId="11" fillId="20" borderId="1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49" fontId="9" fillId="20" borderId="10" xfId="65" applyNumberFormat="1" applyFont="1" applyFill="1" applyBorder="1" applyAlignment="1" applyProtection="1">
      <alignment horizontal="center" vertical="center" wrapText="1"/>
      <protection locked="0"/>
    </xf>
    <xf numFmtId="49" fontId="9" fillId="20" borderId="10" xfId="0" applyNumberFormat="1" applyFont="1" applyFill="1" applyBorder="1" applyAlignment="1" applyProtection="1">
      <alignment horizontal="center" vertical="center"/>
      <protection locked="0"/>
    </xf>
    <xf numFmtId="0" fontId="5" fillId="20" borderId="10" xfId="68" applyFont="1" applyFill="1" applyBorder="1" applyAlignment="1" applyProtection="1">
      <alignment horizontal="center" vertical="center" wrapText="1"/>
      <protection locked="0"/>
    </xf>
    <xf numFmtId="3" fontId="13" fillId="2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20" borderId="10" xfId="68" applyFont="1" applyFill="1" applyBorder="1" applyAlignment="1" applyProtection="1">
      <alignment horizontal="center" vertical="center" wrapText="1"/>
      <protection locked="0"/>
    </xf>
    <xf numFmtId="3" fontId="13" fillId="20" borderId="10" xfId="0" applyNumberFormat="1" applyFont="1" applyFill="1" applyBorder="1" applyAlignment="1" applyProtection="1">
      <alignment vertical="center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25" fillId="0" borderId="10" xfId="68" applyFont="1" applyFill="1" applyBorder="1" applyAlignment="1" applyProtection="1">
      <alignment horizontal="center" vertical="center" wrapText="1"/>
      <protection/>
    </xf>
    <xf numFmtId="0" fontId="25" fillId="0" borderId="10" xfId="68" applyFont="1" applyFill="1" applyBorder="1" applyAlignment="1" applyProtection="1">
      <alignment horizontal="center" vertical="center" wrapText="1"/>
      <protection/>
    </xf>
    <xf numFmtId="0" fontId="26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20" borderId="10" xfId="68" applyFont="1" applyFill="1" applyBorder="1" applyAlignment="1" applyProtection="1">
      <alignment horizontal="center" vertical="center" wrapText="1"/>
      <protection/>
    </xf>
    <xf numFmtId="0" fontId="7" fillId="0" borderId="10" xfId="68" applyFont="1" applyFill="1" applyBorder="1" applyAlignment="1" applyProtection="1">
      <alignment horizontal="left" vertical="center" wrapText="1" indent="3"/>
      <protection/>
    </xf>
    <xf numFmtId="0" fontId="25" fillId="0" borderId="10" xfId="68" applyFont="1" applyFill="1" applyBorder="1" applyAlignment="1" applyProtection="1">
      <alignment horizontal="left" vertical="center" wrapText="1" indent="2"/>
      <protection/>
    </xf>
    <xf numFmtId="0" fontId="25" fillId="0" borderId="10" xfId="65" applyFont="1" applyFill="1" applyBorder="1" applyAlignment="1" applyProtection="1">
      <alignment horizontal="left" vertical="center" wrapText="1" indent="2"/>
      <protection/>
    </xf>
    <xf numFmtId="0" fontId="26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>
      <alignment horizontal="left" vertical="center" wrapText="1" indent="1"/>
      <protection/>
    </xf>
    <xf numFmtId="0" fontId="5" fillId="20" borderId="10" xfId="68" applyFont="1" applyFill="1" applyBorder="1" applyAlignment="1" applyProtection="1">
      <alignment horizontal="left" vertical="center" wrapText="1" indent="1"/>
      <protection/>
    </xf>
    <xf numFmtId="0" fontId="26" fillId="0" borderId="10" xfId="68" applyFont="1" applyFill="1" applyBorder="1" applyAlignment="1" applyProtection="1">
      <alignment horizontal="left" vertical="center" wrapText="1" indent="2"/>
      <protection/>
    </xf>
    <xf numFmtId="0" fontId="26" fillId="0" borderId="10" xfId="67" applyFont="1" applyFill="1" applyBorder="1" applyAlignment="1" applyProtection="1">
      <alignment horizontal="left" vertical="center" wrapText="1" indent="2"/>
      <protection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3" fillId="0" borderId="10" xfId="67" applyFont="1" applyFill="1" applyBorder="1" applyAlignment="1" applyProtection="1">
      <alignment horizontal="left" vertical="center" wrapText="1" indent="3"/>
      <protection/>
    </xf>
    <xf numFmtId="0" fontId="3" fillId="0" borderId="10" xfId="67" applyFont="1" applyFill="1" applyBorder="1" applyAlignment="1" applyProtection="1">
      <alignment horizontal="left" vertical="center" wrapText="1" indent="4"/>
      <protection/>
    </xf>
    <xf numFmtId="0" fontId="12" fillId="20" borderId="10" xfId="68" applyFont="1" applyFill="1" applyBorder="1" applyAlignment="1" applyProtection="1">
      <alignment horizontal="left" vertical="center" wrapText="1" indent="1"/>
      <protection/>
    </xf>
    <xf numFmtId="0" fontId="12" fillId="20" borderId="10" xfId="68" applyFont="1" applyFill="1" applyBorder="1" applyAlignment="1" applyProtection="1">
      <alignment horizontal="left" vertical="center" wrapText="1" indent="1"/>
      <protection/>
    </xf>
    <xf numFmtId="49" fontId="9" fillId="20" borderId="10" xfId="65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>
      <alignment/>
    </xf>
    <xf numFmtId="0" fontId="22" fillId="0" borderId="0" xfId="0" applyFont="1" applyFill="1" applyAlignment="1" applyProtection="1">
      <alignment vertical="center"/>
      <protection locked="0"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49" fontId="9" fillId="20" borderId="10" xfId="0" applyNumberFormat="1" applyFont="1" applyFill="1" applyBorder="1" applyAlignment="1">
      <alignment horizontal="center" vertical="center"/>
    </xf>
    <xf numFmtId="0" fontId="24" fillId="20" borderId="10" xfId="68" applyFont="1" applyFill="1" applyBorder="1" applyAlignment="1" applyProtection="1">
      <alignment horizontal="center" vertical="center" wrapText="1"/>
      <protection/>
    </xf>
    <xf numFmtId="0" fontId="24" fillId="20" borderId="10" xfId="68" applyFont="1" applyFill="1" applyBorder="1" applyAlignment="1" applyProtection="1">
      <alignment horizontal="left" vertical="center" wrapText="1" inden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 quotePrefix="1">
      <alignment horizontal="center" vertical="center" wrapText="1"/>
      <protection/>
    </xf>
    <xf numFmtId="0" fontId="24" fillId="20" borderId="10" xfId="68" applyFont="1" applyFill="1" applyBorder="1" applyAlignment="1" applyProtection="1" quotePrefix="1">
      <alignment horizontal="center" vertical="center" wrapText="1"/>
      <protection/>
    </xf>
    <xf numFmtId="0" fontId="24" fillId="20" borderId="10" xfId="68" applyFont="1" applyFill="1" applyBorder="1" applyAlignment="1" applyProtection="1" quotePrefix="1">
      <alignment horizontal="left" vertical="center" wrapText="1" indent="1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 quotePrefix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3"/>
      <protection/>
    </xf>
    <xf numFmtId="0" fontId="17" fillId="0" borderId="10" xfId="68" applyFont="1" applyFill="1" applyBorder="1" applyAlignment="1" applyProtection="1">
      <alignment horizontal="left" vertical="center" wrapText="1" indent="2"/>
      <protection/>
    </xf>
    <xf numFmtId="0" fontId="12" fillId="2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7" applyFont="1" applyFill="1" applyBorder="1" applyAlignment="1" applyProtection="1">
      <alignment horizontal="left" vertical="center" wrapText="1" indent="3"/>
      <protection/>
    </xf>
    <xf numFmtId="0" fontId="17" fillId="0" borderId="10" xfId="67" applyFont="1" applyFill="1" applyBorder="1" applyAlignment="1" applyProtection="1">
      <alignment horizontal="left" vertical="center" wrapText="1" indent="4"/>
      <protection/>
    </xf>
    <xf numFmtId="0" fontId="24" fillId="20" borderId="10" xfId="67" applyFont="1" applyFill="1" applyBorder="1" applyAlignment="1" applyProtection="1">
      <alignment horizontal="center" vertical="center" wrapText="1"/>
      <protection/>
    </xf>
    <xf numFmtId="0" fontId="24" fillId="20" borderId="10" xfId="67" applyFont="1" applyFill="1" applyBorder="1" applyAlignment="1" applyProtection="1">
      <alignment horizontal="left" vertical="center" wrapText="1" indent="1"/>
      <protection/>
    </xf>
    <xf numFmtId="0" fontId="24" fillId="20" borderId="11" xfId="67" applyFont="1" applyFill="1" applyBorder="1" applyAlignment="1" applyProtection="1">
      <alignment horizontal="left" vertical="center" wrapText="1" indent="1"/>
      <protection/>
    </xf>
    <xf numFmtId="0" fontId="24" fillId="20" borderId="11" xfId="68" applyFont="1" applyFill="1" applyBorder="1" applyAlignment="1" applyProtection="1">
      <alignment horizontal="left" vertical="center" wrapText="1" indent="1"/>
      <protection/>
    </xf>
    <xf numFmtId="3" fontId="16" fillId="20" borderId="10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/>
    </xf>
    <xf numFmtId="0" fontId="15" fillId="0" borderId="0" xfId="0" applyFont="1" applyFill="1" applyBorder="1" applyAlignment="1" applyProtection="1">
      <alignment vertical="center"/>
      <protection locked="0"/>
    </xf>
    <xf numFmtId="164" fontId="16" fillId="2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10" fontId="10" fillId="0" borderId="10" xfId="0" applyNumberFormat="1" applyFont="1" applyFill="1" applyBorder="1" applyAlignment="1" applyProtection="1">
      <alignment horizontal="right" vertical="center"/>
      <protection/>
    </xf>
    <xf numFmtId="10" fontId="13" fillId="20" borderId="10" xfId="0" applyNumberFormat="1" applyFont="1" applyFill="1" applyBorder="1" applyAlignment="1" applyProtection="1">
      <alignment horizontal="right" vertical="center"/>
      <protection locked="0"/>
    </xf>
    <xf numFmtId="10" fontId="10" fillId="0" borderId="10" xfId="0" applyNumberFormat="1" applyFont="1" applyFill="1" applyBorder="1" applyAlignment="1" applyProtection="1">
      <alignment horizontal="right" vertical="center"/>
      <protection locked="0"/>
    </xf>
    <xf numFmtId="10" fontId="13" fillId="20" borderId="10" xfId="0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10" fontId="13" fillId="20" borderId="10" xfId="0" applyNumberFormat="1" applyFont="1" applyFill="1" applyBorder="1" applyAlignment="1">
      <alignment horizontal="right" vertical="center"/>
    </xf>
    <xf numFmtId="10" fontId="11" fillId="0" borderId="10" xfId="0" applyNumberFormat="1" applyFont="1" applyFill="1" applyBorder="1" applyAlignment="1">
      <alignment horizontal="right" vertical="center"/>
    </xf>
    <xf numFmtId="10" fontId="13" fillId="20" borderId="10" xfId="0" applyNumberFormat="1" applyFont="1" applyFill="1" applyBorder="1" applyAlignment="1" applyProtection="1">
      <alignment vertical="center"/>
      <protection locked="0"/>
    </xf>
    <xf numFmtId="10" fontId="11" fillId="20" borderId="10" xfId="0" applyNumberFormat="1" applyFont="1" applyFill="1" applyBorder="1" applyAlignment="1">
      <alignment horizontal="right" vertical="center"/>
    </xf>
    <xf numFmtId="10" fontId="16" fillId="20" borderId="10" xfId="0" applyNumberFormat="1" applyFont="1" applyFill="1" applyBorder="1" applyAlignment="1">
      <alignment horizontal="right" vertical="center"/>
    </xf>
    <xf numFmtId="10" fontId="10" fillId="0" borderId="10" xfId="70" applyNumberFormat="1" applyFont="1" applyFill="1" applyBorder="1" applyAlignment="1" applyProtection="1">
      <alignment horizontal="right" vertical="center"/>
      <protection/>
    </xf>
    <xf numFmtId="3" fontId="13" fillId="20" borderId="10" xfId="0" applyNumberFormat="1" applyFont="1" applyFill="1" applyBorder="1" applyAlignment="1" applyProtection="1">
      <alignment horizontal="right" vertical="center"/>
      <protection locked="0"/>
    </xf>
    <xf numFmtId="0" fontId="25" fillId="0" borderId="10" xfId="68" applyFont="1" applyFill="1" applyBorder="1" applyAlignment="1" applyProtection="1">
      <alignment horizontal="left" vertical="center" wrapText="1" indent="2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/>
    </xf>
    <xf numFmtId="10" fontId="33" fillId="20" borderId="10" xfId="0" applyNumberFormat="1" applyFont="1" applyFill="1" applyBorder="1" applyAlignment="1" applyProtection="1">
      <alignment horizontal="right" vertical="center"/>
      <protection/>
    </xf>
    <xf numFmtId="3" fontId="10" fillId="25" borderId="10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13" fillId="20" borderId="10" xfId="0" applyNumberFormat="1" applyFont="1" applyFill="1" applyBorder="1" applyAlignment="1" applyProtection="1">
      <alignment horizontal="right" vertical="center"/>
      <protection/>
    </xf>
    <xf numFmtId="3" fontId="10" fillId="25" borderId="10" xfId="0" applyNumberFormat="1" applyFont="1" applyFill="1" applyBorder="1" applyAlignment="1" applyProtection="1">
      <alignment horizontal="right" vertical="center"/>
      <protection locked="0"/>
    </xf>
    <xf numFmtId="3" fontId="11" fillId="25" borderId="10" xfId="0" applyNumberFormat="1" applyFont="1" applyFill="1" applyBorder="1" applyAlignment="1" applyProtection="1">
      <alignment horizontal="right" vertical="center"/>
      <protection/>
    </xf>
    <xf numFmtId="3" fontId="10" fillId="25" borderId="10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25" borderId="10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10" fontId="11" fillId="0" borderId="10" xfId="0" applyNumberFormat="1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1" fillId="20" borderId="10" xfId="65" applyFont="1" applyFill="1" applyBorder="1" applyAlignment="1" applyProtection="1">
      <alignment horizontal="center" vertical="center" wrapText="1"/>
      <protection/>
    </xf>
    <xf numFmtId="3" fontId="24" fillId="20" borderId="13" xfId="0" applyNumberFormat="1" applyFont="1" applyFill="1" applyBorder="1" applyAlignment="1" applyProtection="1">
      <alignment horizontal="center" vertical="center" wrapText="1"/>
      <protection locked="0"/>
    </xf>
    <xf numFmtId="3" fontId="24" fillId="20" borderId="14" xfId="0" applyNumberFormat="1" applyFont="1" applyFill="1" applyBorder="1" applyAlignment="1" applyProtection="1">
      <alignment horizontal="center" vertical="center" wrapText="1"/>
      <protection locked="0"/>
    </xf>
    <xf numFmtId="3" fontId="24" fillId="20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20" borderId="13" xfId="66" applyNumberFormat="1" applyFont="1" applyFill="1" applyBorder="1" applyAlignment="1">
      <alignment horizontal="center" vertical="center" wrapText="1"/>
      <protection/>
    </xf>
    <xf numFmtId="3" fontId="11" fillId="20" borderId="14" xfId="66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24" borderId="0" xfId="0" applyFont="1" applyFill="1" applyAlignment="1" applyProtection="1">
      <alignment horizontal="left" vertical="center" wrapText="1"/>
      <protection locked="0"/>
    </xf>
    <xf numFmtId="0" fontId="11" fillId="20" borderId="10" xfId="65" applyFont="1" applyFill="1" applyBorder="1" applyAlignment="1" applyProtection="1">
      <alignment horizontal="center" vertical="center" wrapText="1"/>
      <protection locked="0"/>
    </xf>
    <xf numFmtId="0" fontId="11" fillId="20" borderId="10" xfId="65" applyFont="1" applyFill="1" applyBorder="1" applyAlignment="1" applyProtection="1">
      <alignment horizontal="center" vertical="center" wrapText="1"/>
      <protection locked="0"/>
    </xf>
  </cellXfs>
  <cellStyles count="66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_laroux" xfId="63"/>
    <cellStyle name="normální_laroux" xfId="64"/>
    <cellStyle name="Normalny_03PlFin_0403" xfId="65"/>
    <cellStyle name="Normalny_2007.06.18 -2v- Plan finansowy na lata 2004 - 2010" xfId="66"/>
    <cellStyle name="Normalny_WfMgkr1" xfId="67"/>
    <cellStyle name="Normalny_Wzór z 09.10.2001" xfId="68"/>
    <cellStyle name="Obliczenia" xfId="69"/>
    <cellStyle name="Percent" xfId="70"/>
    <cellStyle name="Styl 1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arzyna.sadowska\Ustawienia%20lokalne\Temporary%20Internet%20Files\OLK78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dyta\2010\Plan%20finansowy%20na%20rok%202010\Plan%20-%2031-07-2009%20-%20udost&#281;pniony\Plan%20finansowy%20NFZ%202010%20-%20udo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F\Marcin\Baza\Prognozy\Progn%20przych%202010%20-%202012\Prognoza%20koszt&#243;w%202010-2012\Za&#322;o&#380;enia%20do%20prognozy\Za&#322;o&#380;enia%20-%20k_administracyjne%20po%20korekcie%20wska&#378;nik&#243;w\Koszty%20osobowe%202010-2012%20-%20po%20korekcie%20wska&#378;nik&#243;w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orbert.tyszka\Ustawienia%20lokalne\Temporary%20Internet%20Files\OLK3C\Za&#322;&#261;cznik%20nr%202%20-%20rezerwa%20na%20migracj&#281;_prognoz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orbert.tyszka\Ustawienia%20lokalne\Temporary%20Internet%20Files\OLK3C\Symulacja%20migracji%20na%202010_na%20podstawie%208%20m-cy%202009+noty%20bez%20upowa&#380;nie&#32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</sheetNames>
    <sheetDataSet>
      <sheetData sheetId="1">
        <row r="52">
          <cell r="C52">
            <v>80610</v>
          </cell>
        </row>
        <row r="53">
          <cell r="C53">
            <v>600</v>
          </cell>
        </row>
        <row r="54">
          <cell r="C54">
            <v>0</v>
          </cell>
        </row>
        <row r="55">
          <cell r="C55">
            <v>272</v>
          </cell>
        </row>
        <row r="56">
          <cell r="C56">
            <v>38126</v>
          </cell>
        </row>
      </sheetData>
      <sheetData sheetId="2">
        <row r="52">
          <cell r="C52">
            <v>12059</v>
          </cell>
        </row>
        <row r="53">
          <cell r="C53">
            <v>199619</v>
          </cell>
        </row>
        <row r="54">
          <cell r="C54">
            <v>0</v>
          </cell>
        </row>
        <row r="55">
          <cell r="C55">
            <v>14584</v>
          </cell>
        </row>
        <row r="56">
          <cell r="C56">
            <v>38225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 i prog z POU na 3 l + info"/>
      <sheetName val="Ubezp soł i inne na 3 l + infor"/>
    </sheetNames>
    <sheetDataSet>
      <sheetData sheetId="1">
        <row r="22">
          <cell r="B22">
            <v>30429</v>
          </cell>
          <cell r="D22">
            <v>4622</v>
          </cell>
          <cell r="E22">
            <v>746</v>
          </cell>
          <cell r="F22">
            <v>0</v>
          </cell>
          <cell r="G22">
            <v>1692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ZERWA NA MIGRACJĘ"/>
    </sheetNames>
    <sheetDataSet>
      <sheetData sheetId="0">
        <row r="8">
          <cell r="B8">
            <v>178448.85223</v>
          </cell>
          <cell r="C8">
            <v>10439.946189999999</v>
          </cell>
          <cell r="D8">
            <v>126316.96885999998</v>
          </cell>
          <cell r="E8">
            <v>8824.896000000002</v>
          </cell>
          <cell r="F8">
            <v>17603.23811</v>
          </cell>
          <cell r="G8">
            <v>11825.075040000002</v>
          </cell>
          <cell r="H8">
            <v>3322.16913</v>
          </cell>
          <cell r="I8">
            <v>722.2661200000001</v>
          </cell>
          <cell r="J8">
            <v>2298.22844</v>
          </cell>
          <cell r="K8">
            <v>157.89735</v>
          </cell>
          <cell r="L8">
            <v>5624.434679999999</v>
          </cell>
          <cell r="M8">
            <v>138.62831</v>
          </cell>
        </row>
        <row r="9">
          <cell r="B9">
            <v>117484.97621000001</v>
          </cell>
          <cell r="C9">
            <v>6839.791530000001</v>
          </cell>
          <cell r="D9">
            <v>86343.28803999998</v>
          </cell>
          <cell r="E9">
            <v>5217.945170000001</v>
          </cell>
          <cell r="F9">
            <v>9848.73541</v>
          </cell>
          <cell r="G9">
            <v>3175.10946</v>
          </cell>
          <cell r="H9">
            <v>1061.5239199999999</v>
          </cell>
          <cell r="I9">
            <v>647.67371</v>
          </cell>
          <cell r="J9">
            <v>2595.71097</v>
          </cell>
          <cell r="K9">
            <v>93.48922</v>
          </cell>
          <cell r="L9">
            <v>6653.498970000001</v>
          </cell>
          <cell r="M9">
            <v>226.15498</v>
          </cell>
        </row>
        <row r="10">
          <cell r="B10">
            <v>169593.3595</v>
          </cell>
          <cell r="C10">
            <v>11555.587109999999</v>
          </cell>
          <cell r="D10">
            <v>125889.64097</v>
          </cell>
          <cell r="E10">
            <v>7909.83814</v>
          </cell>
          <cell r="F10">
            <v>10039.491290000002</v>
          </cell>
          <cell r="G10">
            <v>6711.153480000002</v>
          </cell>
          <cell r="H10">
            <v>3204.9211200000004</v>
          </cell>
          <cell r="I10">
            <v>619.6215199999999</v>
          </cell>
          <cell r="J10">
            <v>3564.005289999999</v>
          </cell>
          <cell r="K10">
            <v>139.86416999999997</v>
          </cell>
          <cell r="L10">
            <v>7772.004220000001</v>
          </cell>
          <cell r="M10">
            <v>97.07033</v>
          </cell>
        </row>
        <row r="11">
          <cell r="B11">
            <v>133902.42207999996</v>
          </cell>
          <cell r="C11">
            <v>7252.587439999999</v>
          </cell>
          <cell r="D11">
            <v>106151.99663999998</v>
          </cell>
          <cell r="E11">
            <v>7018.428970000001</v>
          </cell>
          <cell r="F11">
            <v>7361.42992</v>
          </cell>
          <cell r="G11">
            <v>3675.55874</v>
          </cell>
          <cell r="H11">
            <v>1406.2848500000002</v>
          </cell>
          <cell r="I11">
            <v>255.88108</v>
          </cell>
          <cell r="J11">
            <v>1772.05773</v>
          </cell>
          <cell r="K11">
            <v>75.70077</v>
          </cell>
          <cell r="L11">
            <v>5465.094939999999</v>
          </cell>
          <cell r="M11">
            <v>485.8299700000001</v>
          </cell>
        </row>
        <row r="12">
          <cell r="B12">
            <v>217866.70108999996</v>
          </cell>
          <cell r="C12">
            <v>10946.440779999999</v>
          </cell>
          <cell r="D12">
            <v>160137.97929000002</v>
          </cell>
          <cell r="E12">
            <v>7369.873670000001</v>
          </cell>
          <cell r="F12">
            <v>19039.132830000002</v>
          </cell>
          <cell r="G12">
            <v>11311.66898</v>
          </cell>
          <cell r="H12">
            <v>4343.729429999999</v>
          </cell>
          <cell r="I12">
            <v>822.05743</v>
          </cell>
          <cell r="J12">
            <v>3157.6947300000006</v>
          </cell>
          <cell r="K12">
            <v>86.70559999999999</v>
          </cell>
          <cell r="L12">
            <v>7820.58578</v>
          </cell>
          <cell r="M12">
            <v>200.70623999999998</v>
          </cell>
        </row>
        <row r="13">
          <cell r="B13">
            <v>227880.63480000006</v>
          </cell>
          <cell r="C13">
            <v>13846.89576</v>
          </cell>
          <cell r="D13">
            <v>176748.42010999998</v>
          </cell>
          <cell r="E13">
            <v>12033.149829999998</v>
          </cell>
          <cell r="F13">
            <v>14022.51964</v>
          </cell>
          <cell r="G13">
            <v>9030.861959999998</v>
          </cell>
          <cell r="H13">
            <v>2919.6611700000003</v>
          </cell>
          <cell r="I13">
            <v>397.14734999999996</v>
          </cell>
          <cell r="J13">
            <v>2949.7986800000003</v>
          </cell>
          <cell r="K13">
            <v>441.725</v>
          </cell>
          <cell r="L13">
            <v>7399.96512</v>
          </cell>
          <cell r="M13">
            <v>123.64000999999999</v>
          </cell>
        </row>
        <row r="14">
          <cell r="B14">
            <v>207810.88480000006</v>
          </cell>
          <cell r="C14">
            <v>12408.49725</v>
          </cell>
          <cell r="D14">
            <v>147119.81157000002</v>
          </cell>
          <cell r="E14">
            <v>4103.34045</v>
          </cell>
          <cell r="F14">
            <v>22422.488920000003</v>
          </cell>
          <cell r="G14">
            <v>10978.30048</v>
          </cell>
          <cell r="H14">
            <v>2832.16817</v>
          </cell>
          <cell r="I14">
            <v>689.33937</v>
          </cell>
          <cell r="J14">
            <v>5157.066299999999</v>
          </cell>
          <cell r="K14">
            <v>277.96067</v>
          </cell>
          <cell r="L14">
            <v>5534.838760000001</v>
          </cell>
          <cell r="M14">
            <v>390.41331</v>
          </cell>
        </row>
        <row r="15">
          <cell r="B15">
            <v>113768.93441999999</v>
          </cell>
          <cell r="C15">
            <v>5740.96653</v>
          </cell>
          <cell r="D15">
            <v>87183.48311999999</v>
          </cell>
          <cell r="E15">
            <v>4148.146910000001</v>
          </cell>
          <cell r="F15">
            <v>7906.46908</v>
          </cell>
          <cell r="G15">
            <v>5015.751679999999</v>
          </cell>
          <cell r="H15">
            <v>1087.63953</v>
          </cell>
          <cell r="I15">
            <v>181.73959999999997</v>
          </cell>
          <cell r="J15">
            <v>1767.64254</v>
          </cell>
          <cell r="K15">
            <v>130.66557999999998</v>
          </cell>
          <cell r="L15">
            <v>4428.646320000001</v>
          </cell>
          <cell r="M15">
            <v>325.93044000000003</v>
          </cell>
        </row>
        <row r="16">
          <cell r="B16">
            <v>194849.78205000004</v>
          </cell>
          <cell r="C16">
            <v>8957.336150000001</v>
          </cell>
          <cell r="D16">
            <v>160516.22381000002</v>
          </cell>
          <cell r="E16">
            <v>13971.62906</v>
          </cell>
          <cell r="F16">
            <v>8484.89026</v>
          </cell>
          <cell r="G16">
            <v>4694.91046</v>
          </cell>
          <cell r="H16">
            <v>1477.94946</v>
          </cell>
          <cell r="I16">
            <v>408.71715</v>
          </cell>
          <cell r="J16">
            <v>3069.4099</v>
          </cell>
          <cell r="K16">
            <v>124.54602</v>
          </cell>
          <cell r="L16">
            <v>7037.00994</v>
          </cell>
          <cell r="M16">
            <v>78.7889</v>
          </cell>
        </row>
        <row r="17">
          <cell r="B17">
            <v>91495.12211000001</v>
          </cell>
          <cell r="C17">
            <v>5084.89501</v>
          </cell>
          <cell r="D17">
            <v>68788.6604</v>
          </cell>
          <cell r="E17">
            <v>3781.41306</v>
          </cell>
          <cell r="F17">
            <v>5639.70228</v>
          </cell>
          <cell r="G17">
            <v>3823.68857</v>
          </cell>
          <cell r="H17">
            <v>1420.6908</v>
          </cell>
          <cell r="I17">
            <v>311.20587</v>
          </cell>
          <cell r="J17">
            <v>1406.9490799999999</v>
          </cell>
          <cell r="K17">
            <v>72.07191999999998</v>
          </cell>
          <cell r="L17">
            <v>4888.0507</v>
          </cell>
          <cell r="M17">
            <v>59.20748</v>
          </cell>
        </row>
        <row r="18">
          <cell r="B18">
            <v>156537.37195</v>
          </cell>
          <cell r="C18">
            <v>8884.907150000001</v>
          </cell>
          <cell r="D18">
            <v>118605.99803000002</v>
          </cell>
          <cell r="E18">
            <v>6542.95656</v>
          </cell>
          <cell r="F18">
            <v>9572.08068</v>
          </cell>
          <cell r="G18">
            <v>5939.63405</v>
          </cell>
          <cell r="H18">
            <v>1536.83229</v>
          </cell>
          <cell r="I18">
            <v>452.7758800000001</v>
          </cell>
          <cell r="J18">
            <v>2166.7041799999997</v>
          </cell>
          <cell r="K18">
            <v>61.774550000000005</v>
          </cell>
          <cell r="L18">
            <v>9074.725890000003</v>
          </cell>
          <cell r="M18">
            <v>241.93925000000007</v>
          </cell>
        </row>
        <row r="19">
          <cell r="B19">
            <v>196072.64623</v>
          </cell>
          <cell r="C19">
            <v>11392.90295</v>
          </cell>
          <cell r="D19">
            <v>135939.25875000004</v>
          </cell>
          <cell r="E19">
            <v>11344.52246</v>
          </cell>
          <cell r="F19">
            <v>19109.182940000002</v>
          </cell>
          <cell r="G19">
            <v>11811.740330000002</v>
          </cell>
          <cell r="H19">
            <v>5670.865739999999</v>
          </cell>
          <cell r="I19">
            <v>504.3798499999999</v>
          </cell>
          <cell r="J19">
            <v>3843.9736300000004</v>
          </cell>
          <cell r="K19">
            <v>81.40612000000002</v>
          </cell>
          <cell r="L19">
            <v>7528.859710000001</v>
          </cell>
          <cell r="M19">
            <v>190.07621000000003</v>
          </cell>
        </row>
        <row r="20">
          <cell r="B20">
            <v>157416.24149</v>
          </cell>
          <cell r="C20">
            <v>8766.930639999999</v>
          </cell>
          <cell r="D20">
            <v>125268.72636999999</v>
          </cell>
          <cell r="E20">
            <v>5808.463159999999</v>
          </cell>
          <cell r="F20">
            <v>6742.506070000001</v>
          </cell>
          <cell r="G20">
            <v>4835.91121</v>
          </cell>
          <cell r="H20">
            <v>2775.80534</v>
          </cell>
          <cell r="I20">
            <v>725.6135599999999</v>
          </cell>
          <cell r="J20">
            <v>2772.89459</v>
          </cell>
          <cell r="K20">
            <v>204.68277999999998</v>
          </cell>
          <cell r="L20">
            <v>5274.585859999999</v>
          </cell>
          <cell r="M20">
            <v>48.585069999999995</v>
          </cell>
        </row>
        <row r="21">
          <cell r="B21">
            <v>177251.13949999996</v>
          </cell>
          <cell r="C21">
            <v>9255.746090000002</v>
          </cell>
          <cell r="D21">
            <v>139270.05561999997</v>
          </cell>
          <cell r="E21">
            <v>10129.68346</v>
          </cell>
          <cell r="F21">
            <v>11466.29404</v>
          </cell>
          <cell r="G21">
            <v>3978.2058700000002</v>
          </cell>
          <cell r="H21">
            <v>1154.5171599999999</v>
          </cell>
          <cell r="I21">
            <v>452.29025000000007</v>
          </cell>
          <cell r="J21">
            <v>2657.3946399999995</v>
          </cell>
          <cell r="K21">
            <v>166.89399999999998</v>
          </cell>
          <cell r="L21">
            <v>8831.052370000001</v>
          </cell>
          <cell r="M21">
            <v>18.68946</v>
          </cell>
        </row>
        <row r="22">
          <cell r="B22">
            <v>190083.03836999997</v>
          </cell>
          <cell r="C22">
            <v>9510.25374</v>
          </cell>
          <cell r="D22">
            <v>139016.68475</v>
          </cell>
          <cell r="E22">
            <v>11664.434059999998</v>
          </cell>
          <cell r="F22">
            <v>20397.38766</v>
          </cell>
          <cell r="G22">
            <v>7624.745970000001</v>
          </cell>
          <cell r="H22">
            <v>2409.3116999999997</v>
          </cell>
          <cell r="I22">
            <v>398.18483999999995</v>
          </cell>
          <cell r="J22">
            <v>3193.7709199999995</v>
          </cell>
          <cell r="K22">
            <v>147.32235000000003</v>
          </cell>
          <cell r="L22">
            <v>7016.37949</v>
          </cell>
          <cell r="M22">
            <v>368.99695</v>
          </cell>
        </row>
        <row r="23">
          <cell r="B23">
            <v>129307.80136</v>
          </cell>
          <cell r="C23">
            <v>6373.34205</v>
          </cell>
          <cell r="D23">
            <v>90794.15707</v>
          </cell>
          <cell r="E23">
            <v>4493.572869999999</v>
          </cell>
          <cell r="F23">
            <v>14689.374210000002</v>
          </cell>
          <cell r="G23">
            <v>3950.6951400000003</v>
          </cell>
          <cell r="H23">
            <v>1693.4990999999995</v>
          </cell>
          <cell r="I23">
            <v>982.6828500000001</v>
          </cell>
          <cell r="J23">
            <v>1891.8577599999999</v>
          </cell>
          <cell r="K23">
            <v>55.19611</v>
          </cell>
          <cell r="L23">
            <v>8603.821549999999</v>
          </cell>
          <cell r="M23">
            <v>273.17552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igracja zbiorczo prognoza 2009"/>
      <sheetName val="REZERWA NA MIGRACJĘ"/>
    </sheetNames>
    <sheetDataSet>
      <sheetData sheetId="1">
        <row r="8">
          <cell r="C8">
            <v>10197.00336</v>
          </cell>
          <cell r="D8">
            <v>122513.21217</v>
          </cell>
          <cell r="E8">
            <v>9129.259934999998</v>
          </cell>
          <cell r="F8">
            <v>17581.999665</v>
          </cell>
          <cell r="G8">
            <v>11368.846574999998</v>
          </cell>
          <cell r="H8">
            <v>3038.2263000000003</v>
          </cell>
          <cell r="I8">
            <v>716.925075</v>
          </cell>
          <cell r="J8">
            <v>2230.4178150000002</v>
          </cell>
          <cell r="K8">
            <v>148.353825</v>
          </cell>
          <cell r="L8">
            <v>4994.016030000001</v>
          </cell>
          <cell r="M8">
            <v>44.10789</v>
          </cell>
        </row>
        <row r="9">
          <cell r="C9">
            <v>6369.2818800000005</v>
          </cell>
          <cell r="D9">
            <v>78437.44174499999</v>
          </cell>
          <cell r="E9">
            <v>4971.781185</v>
          </cell>
          <cell r="F9">
            <v>9552.228509999999</v>
          </cell>
          <cell r="G9">
            <v>2926.470284999999</v>
          </cell>
          <cell r="H9">
            <v>844.6983450000001</v>
          </cell>
          <cell r="I9">
            <v>617.787435</v>
          </cell>
          <cell r="J9">
            <v>2390.9948249999993</v>
          </cell>
          <cell r="K9">
            <v>76.090575</v>
          </cell>
          <cell r="L9">
            <v>5753.970600000001</v>
          </cell>
          <cell r="M9">
            <v>219.07417499999997</v>
          </cell>
        </row>
        <row r="10">
          <cell r="C10">
            <v>10582.16895</v>
          </cell>
          <cell r="D10">
            <v>113527.50027</v>
          </cell>
          <cell r="E10">
            <v>7025.401094999998</v>
          </cell>
          <cell r="F10">
            <v>9623.089845</v>
          </cell>
          <cell r="G10">
            <v>6082.2615</v>
          </cell>
          <cell r="H10">
            <v>3032.711565</v>
          </cell>
          <cell r="I10">
            <v>590.7932700000001</v>
          </cell>
          <cell r="J10">
            <v>2973.52548</v>
          </cell>
          <cell r="K10">
            <v>129.10341</v>
          </cell>
          <cell r="L10">
            <v>5533.701495000001</v>
          </cell>
          <cell r="M10">
            <v>73.121205</v>
          </cell>
        </row>
        <row r="11">
          <cell r="C11">
            <v>7111.002990000001</v>
          </cell>
          <cell r="D11">
            <v>103791.20442</v>
          </cell>
          <cell r="E11">
            <v>7120.716735000001</v>
          </cell>
          <cell r="F11">
            <v>7180.852365</v>
          </cell>
          <cell r="G11">
            <v>3672.664185</v>
          </cell>
          <cell r="H11">
            <v>1324.6106550000002</v>
          </cell>
          <cell r="I11">
            <v>259.605225</v>
          </cell>
          <cell r="J11">
            <v>1720.9256100000002</v>
          </cell>
          <cell r="K11">
            <v>76.77206999999999</v>
          </cell>
          <cell r="L11">
            <v>5185.9902600000005</v>
          </cell>
          <cell r="M11">
            <v>189.8826</v>
          </cell>
        </row>
        <row r="12">
          <cell r="C12">
            <v>10331.829435</v>
          </cell>
          <cell r="D12">
            <v>147574.07142000002</v>
          </cell>
          <cell r="E12">
            <v>6930.814694999999</v>
          </cell>
          <cell r="F12">
            <v>18591.800430000003</v>
          </cell>
          <cell r="G12">
            <v>10589.591745000002</v>
          </cell>
          <cell r="H12">
            <v>3928.5531149999997</v>
          </cell>
          <cell r="I12">
            <v>795.5036099999999</v>
          </cell>
          <cell r="J12">
            <v>2785.116945</v>
          </cell>
          <cell r="K12">
            <v>80.78456999999999</v>
          </cell>
          <cell r="L12">
            <v>5657.174055</v>
          </cell>
          <cell r="M12">
            <v>110.43787499999999</v>
          </cell>
        </row>
        <row r="13">
          <cell r="C13">
            <v>13534.246409999998</v>
          </cell>
          <cell r="D13">
            <v>174108.05500499997</v>
          </cell>
          <cell r="E13">
            <v>13148.56449</v>
          </cell>
          <cell r="F13">
            <v>13269.856289999998</v>
          </cell>
          <cell r="G13">
            <v>8684.448645000002</v>
          </cell>
          <cell r="H13">
            <v>2830.87743</v>
          </cell>
          <cell r="I13">
            <v>384.394245</v>
          </cell>
          <cell r="J13">
            <v>2820.25089</v>
          </cell>
          <cell r="K13">
            <v>417.03564</v>
          </cell>
          <cell r="L13">
            <v>6487.805235</v>
          </cell>
          <cell r="M13">
            <v>100.49890500000001</v>
          </cell>
        </row>
        <row r="14">
          <cell r="C14">
            <v>11978.978985</v>
          </cell>
          <cell r="D14">
            <v>143037.74343</v>
          </cell>
          <cell r="E14">
            <v>4057.826069999999</v>
          </cell>
          <cell r="F14">
            <v>21505.583805</v>
          </cell>
          <cell r="G14">
            <v>10572.220425</v>
          </cell>
          <cell r="H14">
            <v>2615.06127</v>
          </cell>
          <cell r="I14">
            <v>660.670095</v>
          </cell>
          <cell r="J14">
            <v>5099.523045</v>
          </cell>
          <cell r="K14">
            <v>255.84048000000004</v>
          </cell>
          <cell r="L14">
            <v>5515.362885</v>
          </cell>
          <cell r="M14">
            <v>91.67002500000001</v>
          </cell>
        </row>
        <row r="15">
          <cell r="C15">
            <v>5645.117384999999</v>
          </cell>
          <cell r="D15">
            <v>85163.53443000001</v>
          </cell>
          <cell r="E15">
            <v>4115.281605</v>
          </cell>
          <cell r="F15">
            <v>7896.235815</v>
          </cell>
          <cell r="G15">
            <v>4988.782035</v>
          </cell>
          <cell r="H15">
            <v>1027.09503</v>
          </cell>
          <cell r="I15">
            <v>183.27678000000003</v>
          </cell>
          <cell r="J15">
            <v>1719.272085</v>
          </cell>
          <cell r="K15">
            <v>131.54904000000002</v>
          </cell>
          <cell r="L15">
            <v>4076.2848</v>
          </cell>
          <cell r="M15">
            <v>6.808725000000001</v>
          </cell>
        </row>
        <row r="16">
          <cell r="C16">
            <v>8776.76625</v>
          </cell>
          <cell r="D16">
            <v>157724.79023999997</v>
          </cell>
          <cell r="E16">
            <v>13915.88073</v>
          </cell>
          <cell r="F16">
            <v>8352.998099999999</v>
          </cell>
          <cell r="G16">
            <v>4577.326455</v>
          </cell>
          <cell r="H16">
            <v>1423.50441</v>
          </cell>
          <cell r="I16">
            <v>427.28890499999994</v>
          </cell>
          <cell r="J16">
            <v>2962.7135100000005</v>
          </cell>
          <cell r="K16">
            <v>105.639915</v>
          </cell>
          <cell r="L16">
            <v>6430.266990000001</v>
          </cell>
          <cell r="M16">
            <v>72.54258</v>
          </cell>
        </row>
        <row r="17">
          <cell r="C17">
            <v>4724.212544999999</v>
          </cell>
          <cell r="D17">
            <v>61834.762064999995</v>
          </cell>
          <cell r="E17">
            <v>3489.4385849999994</v>
          </cell>
          <cell r="F17">
            <v>5619.3269549999995</v>
          </cell>
          <cell r="G17">
            <v>3553.06383</v>
          </cell>
          <cell r="H17">
            <v>1389.023145</v>
          </cell>
          <cell r="I17">
            <v>314.341065</v>
          </cell>
          <cell r="J17">
            <v>1188.4715400000002</v>
          </cell>
          <cell r="K17">
            <v>58.556205</v>
          </cell>
          <cell r="L17">
            <v>4414.01631</v>
          </cell>
          <cell r="M17">
            <v>93.63244499999999</v>
          </cell>
        </row>
        <row r="18">
          <cell r="C18">
            <v>8776.987695</v>
          </cell>
          <cell r="D18">
            <v>115577.91071999997</v>
          </cell>
          <cell r="E18">
            <v>6198.745755</v>
          </cell>
          <cell r="F18">
            <v>9620.004345</v>
          </cell>
          <cell r="G18">
            <v>5979.00288</v>
          </cell>
          <cell r="H18">
            <v>1550.90262</v>
          </cell>
          <cell r="I18">
            <v>403.318545</v>
          </cell>
          <cell r="J18">
            <v>2059.8732449999998</v>
          </cell>
          <cell r="K18">
            <v>62.446965000000006</v>
          </cell>
          <cell r="L18">
            <v>6496.33365</v>
          </cell>
          <cell r="M18">
            <v>264.99388500000003</v>
          </cell>
        </row>
        <row r="19">
          <cell r="C19">
            <v>11058.217560000001</v>
          </cell>
          <cell r="D19">
            <v>128396.95293000001</v>
          </cell>
          <cell r="E19">
            <v>10910.237730000003</v>
          </cell>
          <cell r="F19">
            <v>18919.34307</v>
          </cell>
          <cell r="G19">
            <v>11127.03264</v>
          </cell>
          <cell r="H19">
            <v>5625.744195</v>
          </cell>
          <cell r="I19">
            <v>509.8928699999999</v>
          </cell>
          <cell r="J19">
            <v>3682.3067849999998</v>
          </cell>
          <cell r="K19">
            <v>100.77113999999999</v>
          </cell>
          <cell r="L19">
            <v>6398.422799999999</v>
          </cell>
          <cell r="M19">
            <v>136.18268999999998</v>
          </cell>
        </row>
        <row r="20">
          <cell r="C20">
            <v>8423.0139</v>
          </cell>
          <cell r="D20">
            <v>117915.84217499997</v>
          </cell>
          <cell r="E20">
            <v>5217.205875000001</v>
          </cell>
          <cell r="F20">
            <v>6199.383585</v>
          </cell>
          <cell r="G20">
            <v>4459.152840000002</v>
          </cell>
          <cell r="H20">
            <v>2714.32953</v>
          </cell>
          <cell r="I20">
            <v>687.7648049999999</v>
          </cell>
          <cell r="J20">
            <v>2569.68702</v>
          </cell>
          <cell r="K20">
            <v>195.52041000000003</v>
          </cell>
          <cell r="L20">
            <v>4849.025444999999</v>
          </cell>
          <cell r="M20">
            <v>27.117389999999993</v>
          </cell>
        </row>
        <row r="21">
          <cell r="C21">
            <v>8601.276749999999</v>
          </cell>
          <cell r="D21">
            <v>122524.42328999996</v>
          </cell>
          <cell r="E21">
            <v>9185.918085</v>
          </cell>
          <cell r="F21">
            <v>10869.0582</v>
          </cell>
          <cell r="G21">
            <v>3541.3575600000004</v>
          </cell>
          <cell r="H21">
            <v>739.7946900000001</v>
          </cell>
          <cell r="I21">
            <v>429.16285500000004</v>
          </cell>
          <cell r="J21">
            <v>2297.3328750000005</v>
          </cell>
          <cell r="K21">
            <v>140.01414</v>
          </cell>
          <cell r="L21">
            <v>6639.22257</v>
          </cell>
          <cell r="M21">
            <v>0.35812499999999997</v>
          </cell>
        </row>
        <row r="22">
          <cell r="C22">
            <v>9275.791020000002</v>
          </cell>
          <cell r="D22">
            <v>132699.33987000003</v>
          </cell>
          <cell r="E22">
            <v>11380.351515</v>
          </cell>
          <cell r="F22">
            <v>20308.200419999997</v>
          </cell>
          <cell r="G22">
            <v>7376.8460399999985</v>
          </cell>
          <cell r="H22">
            <v>2194.61946</v>
          </cell>
          <cell r="I22">
            <v>386.0604</v>
          </cell>
          <cell r="J22">
            <v>3217.7341049999995</v>
          </cell>
          <cell r="K22">
            <v>145.33377</v>
          </cell>
          <cell r="L22">
            <v>5786.698005</v>
          </cell>
          <cell r="M22">
            <v>173.24988000000002</v>
          </cell>
        </row>
        <row r="23">
          <cell r="C23">
            <v>6171.21684</v>
          </cell>
          <cell r="D23">
            <v>85079.823195</v>
          </cell>
          <cell r="E23">
            <v>3995.046795</v>
          </cell>
          <cell r="F23">
            <v>14243.788950000002</v>
          </cell>
          <cell r="G23">
            <v>3708.058575</v>
          </cell>
          <cell r="H23">
            <v>1039.115055</v>
          </cell>
          <cell r="I23">
            <v>953.8102200000002</v>
          </cell>
          <cell r="J23">
            <v>1853.8808999999999</v>
          </cell>
          <cell r="K23">
            <v>48.643725</v>
          </cell>
          <cell r="L23">
            <v>7237.827945000001</v>
          </cell>
          <cell r="M23">
            <v>260.66657999999995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21"/>
  <sheetViews>
    <sheetView showGridLines="0" tabSelected="1" zoomScale="55" zoomScaleNormal="55" zoomScaleSheetLayoutView="55" zoomScalePageLayoutView="0" workbookViewId="0" topLeftCell="A1">
      <pane xSplit="2" ySplit="6" topLeftCell="C25" activePane="bottomRight" state="frozen"/>
      <selection pane="topLeft" activeCell="G1" sqref="G1:AA16384"/>
      <selection pane="topRight" activeCell="G1" sqref="G1:AA16384"/>
      <selection pane="bottomLeft" activeCell="G1" sqref="G1:AA16384"/>
      <selection pane="bottomRight" activeCell="D30" sqref="D30"/>
    </sheetView>
  </sheetViews>
  <sheetFormatPr defaultColWidth="9.00390625" defaultRowHeight="12.75"/>
  <cols>
    <col min="1" max="1" width="10.375" style="28" customWidth="1"/>
    <col min="2" max="2" width="120.00390625" style="28" customWidth="1"/>
    <col min="3" max="3" width="26.25390625" style="7" customWidth="1"/>
    <col min="4" max="4" width="26.125" style="7" customWidth="1"/>
    <col min="5" max="5" width="24.375" style="7" customWidth="1"/>
    <col min="6" max="6" width="25.375" style="7" customWidth="1"/>
    <col min="7" max="7" width="22.00390625" style="7" hidden="1" customWidth="1"/>
    <col min="8" max="27" width="0" style="7" hidden="1" customWidth="1"/>
    <col min="28" max="16384" width="9.125" style="7" customWidth="1"/>
  </cols>
  <sheetData>
    <row r="1" spans="1:6" s="86" customFormat="1" ht="39" customHeight="1">
      <c r="A1" s="122" t="s">
        <v>203</v>
      </c>
      <c r="B1" s="122"/>
      <c r="C1" s="122"/>
      <c r="D1" s="122"/>
      <c r="E1" s="122"/>
      <c r="F1" s="122"/>
    </row>
    <row r="2" spans="1:3" s="60" customFormat="1" ht="35.25" customHeight="1">
      <c r="A2" s="121" t="s">
        <v>135</v>
      </c>
      <c r="B2" s="121"/>
      <c r="C2" s="122"/>
    </row>
    <row r="3" spans="1:6" s="10" customFormat="1" ht="36" customHeight="1">
      <c r="A3" s="8"/>
      <c r="B3" s="9"/>
      <c r="C3" s="30"/>
      <c r="D3" s="30"/>
      <c r="E3" s="30"/>
      <c r="F3" s="30" t="s">
        <v>90</v>
      </c>
    </row>
    <row r="4" spans="1:91" s="11" customFormat="1" ht="38.25" customHeight="1">
      <c r="A4" s="123" t="s">
        <v>165</v>
      </c>
      <c r="B4" s="123" t="s">
        <v>62</v>
      </c>
      <c r="C4" s="127" t="s">
        <v>202</v>
      </c>
      <c r="D4" s="124" t="s">
        <v>159</v>
      </c>
      <c r="E4" s="126" t="s">
        <v>180</v>
      </c>
      <c r="F4" s="126" t="s">
        <v>181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</row>
    <row r="5" spans="1:91" s="11" customFormat="1" ht="38.25" customHeight="1">
      <c r="A5" s="123"/>
      <c r="B5" s="123"/>
      <c r="C5" s="128"/>
      <c r="D5" s="125"/>
      <c r="E5" s="126"/>
      <c r="F5" s="126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</row>
    <row r="6" spans="1:91" s="12" customFormat="1" ht="19.5" customHeight="1">
      <c r="A6" s="58">
        <v>1</v>
      </c>
      <c r="B6" s="63">
        <v>2</v>
      </c>
      <c r="C6" s="63">
        <v>3</v>
      </c>
      <c r="D6" s="32" t="s">
        <v>160</v>
      </c>
      <c r="E6" s="32" t="s">
        <v>161</v>
      </c>
      <c r="F6" s="32" t="s">
        <v>162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</row>
    <row r="7" spans="1:91" s="14" customFormat="1" ht="63.75" customHeight="1">
      <c r="A7" s="64">
        <v>1</v>
      </c>
      <c r="B7" s="65" t="s">
        <v>157</v>
      </c>
      <c r="C7" s="13">
        <f>C8+C9</f>
        <v>53156228</v>
      </c>
      <c r="D7" s="13">
        <f>D8+D9</f>
        <v>53156228</v>
      </c>
      <c r="E7" s="13" t="str">
        <f>IF(C7=D7,"-",D7-C7)</f>
        <v>-</v>
      </c>
      <c r="F7" s="95">
        <f>IF(C7=0,"-",D7/C7)</f>
        <v>1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</row>
    <row r="8" spans="1:6" ht="30" customHeight="1">
      <c r="A8" s="66" t="s">
        <v>91</v>
      </c>
      <c r="B8" s="67" t="s">
        <v>92</v>
      </c>
      <c r="C8" s="15">
        <v>49750647</v>
      </c>
      <c r="D8" s="15">
        <f>C8</f>
        <v>49750647</v>
      </c>
      <c r="E8" s="15" t="str">
        <f aca="true" t="shared" si="0" ref="E8:E45">IF(C8=D8,"-",D8-C8)</f>
        <v>-</v>
      </c>
      <c r="F8" s="96">
        <f aca="true" t="shared" si="1" ref="F8:F45">IF(C8=0,"-",D8/C8)</f>
        <v>1</v>
      </c>
    </row>
    <row r="9" spans="1:6" ht="30" customHeight="1">
      <c r="A9" s="66" t="s">
        <v>93</v>
      </c>
      <c r="B9" s="67" t="s">
        <v>94</v>
      </c>
      <c r="C9" s="15">
        <v>3405581</v>
      </c>
      <c r="D9" s="15">
        <f>C9</f>
        <v>3405581</v>
      </c>
      <c r="E9" s="15" t="str">
        <f t="shared" si="0"/>
        <v>-</v>
      </c>
      <c r="F9" s="96">
        <f t="shared" si="1"/>
        <v>1</v>
      </c>
    </row>
    <row r="10" spans="1:91" s="14" customFormat="1" ht="63.75" customHeight="1">
      <c r="A10" s="64">
        <v>2</v>
      </c>
      <c r="B10" s="65" t="s">
        <v>152</v>
      </c>
      <c r="C10" s="13">
        <f>C11+C12</f>
        <v>0</v>
      </c>
      <c r="D10" s="13">
        <f>D11+D12</f>
        <v>0</v>
      </c>
      <c r="E10" s="13" t="str">
        <f t="shared" si="0"/>
        <v>-</v>
      </c>
      <c r="F10" s="95" t="str">
        <f t="shared" si="1"/>
        <v>-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</row>
    <row r="11" spans="1:6" ht="30" customHeight="1">
      <c r="A11" s="66" t="s">
        <v>95</v>
      </c>
      <c r="B11" s="67" t="s">
        <v>96</v>
      </c>
      <c r="C11" s="15">
        <v>0</v>
      </c>
      <c r="D11" s="15">
        <f>C11</f>
        <v>0</v>
      </c>
      <c r="E11" s="15" t="str">
        <f t="shared" si="0"/>
        <v>-</v>
      </c>
      <c r="F11" s="96" t="str">
        <f t="shared" si="1"/>
        <v>-</v>
      </c>
    </row>
    <row r="12" spans="1:6" ht="30" customHeight="1">
      <c r="A12" s="66" t="s">
        <v>97</v>
      </c>
      <c r="B12" s="67" t="s">
        <v>98</v>
      </c>
      <c r="C12" s="15">
        <v>0</v>
      </c>
      <c r="D12" s="15">
        <f>C12</f>
        <v>0</v>
      </c>
      <c r="E12" s="15" t="str">
        <f t="shared" si="0"/>
        <v>-</v>
      </c>
      <c r="F12" s="96" t="str">
        <f t="shared" si="1"/>
        <v>-</v>
      </c>
    </row>
    <row r="13" spans="1:91" s="14" customFormat="1" ht="39.75" customHeight="1">
      <c r="A13" s="64">
        <v>3</v>
      </c>
      <c r="B13" s="65" t="s">
        <v>99</v>
      </c>
      <c r="C13" s="13">
        <f>C14+C15</f>
        <v>200000</v>
      </c>
      <c r="D13" s="13">
        <f>D14+D15</f>
        <v>200000</v>
      </c>
      <c r="E13" s="13" t="str">
        <f t="shared" si="0"/>
        <v>-</v>
      </c>
      <c r="F13" s="95">
        <f t="shared" si="1"/>
        <v>1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</row>
    <row r="14" spans="1:7" ht="30" customHeight="1">
      <c r="A14" s="66" t="s">
        <v>100</v>
      </c>
      <c r="B14" s="67" t="s">
        <v>92</v>
      </c>
      <c r="C14" s="15">
        <v>200000</v>
      </c>
      <c r="D14" s="15">
        <f>C14</f>
        <v>200000</v>
      </c>
      <c r="E14" s="15" t="str">
        <f t="shared" si="0"/>
        <v>-</v>
      </c>
      <c r="F14" s="96">
        <f t="shared" si="1"/>
        <v>1</v>
      </c>
      <c r="G14" s="108"/>
    </row>
    <row r="15" spans="1:6" ht="30" customHeight="1">
      <c r="A15" s="66" t="s">
        <v>101</v>
      </c>
      <c r="B15" s="67" t="s">
        <v>94</v>
      </c>
      <c r="C15" s="15">
        <v>0</v>
      </c>
      <c r="D15" s="15">
        <f>C15</f>
        <v>0</v>
      </c>
      <c r="E15" s="15" t="str">
        <f t="shared" si="0"/>
        <v>-</v>
      </c>
      <c r="F15" s="96" t="str">
        <f t="shared" si="1"/>
        <v>-</v>
      </c>
    </row>
    <row r="16" spans="1:91" s="14" customFormat="1" ht="63.75" customHeight="1">
      <c r="A16" s="64">
        <v>4</v>
      </c>
      <c r="B16" s="65" t="s">
        <v>154</v>
      </c>
      <c r="C16" s="13">
        <f>C17+C18</f>
        <v>105317</v>
      </c>
      <c r="D16" s="13">
        <f>D17+D18</f>
        <v>105317</v>
      </c>
      <c r="E16" s="13" t="str">
        <f t="shared" si="0"/>
        <v>-</v>
      </c>
      <c r="F16" s="95">
        <f t="shared" si="1"/>
        <v>1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</row>
    <row r="17" spans="1:6" ht="30" customHeight="1">
      <c r="A17" s="68" t="s">
        <v>102</v>
      </c>
      <c r="B17" s="67" t="s">
        <v>103</v>
      </c>
      <c r="C17" s="15">
        <f>ROUND(C8*0.99*0.002,0)</f>
        <v>98506</v>
      </c>
      <c r="D17" s="15">
        <f>C17</f>
        <v>98506</v>
      </c>
      <c r="E17" s="15" t="str">
        <f t="shared" si="0"/>
        <v>-</v>
      </c>
      <c r="F17" s="96">
        <f t="shared" si="1"/>
        <v>1</v>
      </c>
    </row>
    <row r="18" spans="1:6" ht="30" customHeight="1">
      <c r="A18" s="68" t="s">
        <v>104</v>
      </c>
      <c r="B18" s="67" t="s">
        <v>105</v>
      </c>
      <c r="C18" s="15">
        <f>ROUND(C9*0.002,0)</f>
        <v>6811</v>
      </c>
      <c r="D18" s="15">
        <f>C18</f>
        <v>6811</v>
      </c>
      <c r="E18" s="15" t="str">
        <f t="shared" si="0"/>
        <v>-</v>
      </c>
      <c r="F18" s="96">
        <f t="shared" si="1"/>
        <v>1</v>
      </c>
    </row>
    <row r="19" spans="1:91" s="14" customFormat="1" ht="63.75" customHeight="1">
      <c r="A19" s="69" t="s">
        <v>183</v>
      </c>
      <c r="B19" s="70" t="s">
        <v>182</v>
      </c>
      <c r="C19" s="13">
        <f>(C7-C10+C13-C16)+C20+C21+C22+C23</f>
        <v>55128911</v>
      </c>
      <c r="D19" s="13">
        <f>(D7-D10+D13-D16)+D20+D21+D22+D23</f>
        <v>55128911</v>
      </c>
      <c r="E19" s="13" t="str">
        <f t="shared" si="0"/>
        <v>-</v>
      </c>
      <c r="F19" s="95">
        <f t="shared" si="1"/>
        <v>1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</row>
    <row r="20" spans="1:6" ht="31.5" customHeight="1">
      <c r="A20" s="66" t="s">
        <v>106</v>
      </c>
      <c r="B20" s="71" t="s">
        <v>107</v>
      </c>
      <c r="C20" s="15">
        <v>67600</v>
      </c>
      <c r="D20" s="15">
        <f>C20</f>
        <v>67600</v>
      </c>
      <c r="E20" s="15" t="str">
        <f t="shared" si="0"/>
        <v>-</v>
      </c>
      <c r="F20" s="96">
        <f t="shared" si="1"/>
        <v>1</v>
      </c>
    </row>
    <row r="21" spans="1:6" ht="31.5" customHeight="1">
      <c r="A21" s="66" t="s">
        <v>108</v>
      </c>
      <c r="B21" s="71" t="s">
        <v>109</v>
      </c>
      <c r="C21" s="15">
        <v>0</v>
      </c>
      <c r="D21" s="15">
        <f>C21</f>
        <v>0</v>
      </c>
      <c r="E21" s="15" t="str">
        <f t="shared" si="0"/>
        <v>-</v>
      </c>
      <c r="F21" s="96" t="str">
        <f t="shared" si="1"/>
        <v>-</v>
      </c>
    </row>
    <row r="22" spans="1:6" ht="50.25" customHeight="1">
      <c r="A22" s="66" t="s">
        <v>110</v>
      </c>
      <c r="B22" s="71" t="s">
        <v>145</v>
      </c>
      <c r="C22" s="15">
        <v>79900</v>
      </c>
      <c r="D22" s="15">
        <f>C22</f>
        <v>79900</v>
      </c>
      <c r="E22" s="15" t="str">
        <f t="shared" si="0"/>
        <v>-</v>
      </c>
      <c r="F22" s="96">
        <f t="shared" si="1"/>
        <v>1</v>
      </c>
    </row>
    <row r="23" spans="1:6" ht="31.5" customHeight="1">
      <c r="A23" s="66" t="s">
        <v>111</v>
      </c>
      <c r="B23" s="72" t="s">
        <v>112</v>
      </c>
      <c r="C23" s="15">
        <v>1730500</v>
      </c>
      <c r="D23" s="15">
        <f>C23</f>
        <v>1730500</v>
      </c>
      <c r="E23" s="15" t="str">
        <f t="shared" si="0"/>
        <v>-</v>
      </c>
      <c r="F23" s="96">
        <f t="shared" si="1"/>
        <v>1</v>
      </c>
    </row>
    <row r="24" spans="1:91" s="14" customFormat="1" ht="36" customHeight="1">
      <c r="A24" s="69" t="s">
        <v>184</v>
      </c>
      <c r="B24" s="70" t="s">
        <v>151</v>
      </c>
      <c r="C24" s="13">
        <f>C25+C26+C47+C48</f>
        <v>56338491</v>
      </c>
      <c r="D24" s="13">
        <f>D25+D26+D47+D48</f>
        <v>56338491</v>
      </c>
      <c r="E24" s="13" t="str">
        <f t="shared" si="0"/>
        <v>-</v>
      </c>
      <c r="F24" s="95">
        <f t="shared" si="1"/>
        <v>1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</row>
    <row r="25" spans="1:91" s="14" customFormat="1" ht="36" customHeight="1">
      <c r="A25" s="69" t="s">
        <v>113</v>
      </c>
      <c r="B25" s="70" t="s">
        <v>114</v>
      </c>
      <c r="C25" s="13">
        <f>ROUND(C7/100,0)</f>
        <v>531562</v>
      </c>
      <c r="D25" s="13">
        <f>C25</f>
        <v>531562</v>
      </c>
      <c r="E25" s="13" t="str">
        <f t="shared" si="0"/>
        <v>-</v>
      </c>
      <c r="F25" s="95">
        <f t="shared" si="1"/>
        <v>1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</row>
    <row r="26" spans="1:91" s="14" customFormat="1" ht="36" customHeight="1">
      <c r="A26" s="69" t="s">
        <v>0</v>
      </c>
      <c r="B26" s="70" t="s">
        <v>189</v>
      </c>
      <c r="C26" s="34">
        <f>C27+C28+C29+C31+C32+C33+C34+C35+C36+C37+C38+C39+C40+C41+C43+C44+C45+C46</f>
        <v>54076429</v>
      </c>
      <c r="D26" s="34">
        <f>D27+D28+D29+D31+D32+D33+D34+D35+D36+D37+D38+D39+D40+D41+D43+D44+D45+D46</f>
        <v>54076429</v>
      </c>
      <c r="E26" s="101" t="str">
        <f>IF(C26=D26,"-",D26-C26)</f>
        <v>-</v>
      </c>
      <c r="F26" s="97">
        <f t="shared" si="1"/>
        <v>1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</row>
    <row r="27" spans="1:6" ht="30" customHeight="1">
      <c r="A27" s="73" t="s">
        <v>1</v>
      </c>
      <c r="B27" s="75" t="s">
        <v>166</v>
      </c>
      <c r="C27" s="15">
        <f>CENTRALA!C8+'Razem OW'!C8</f>
        <v>6940383</v>
      </c>
      <c r="D27" s="15">
        <f>CENTRALA!D8+'Razem OW'!D8</f>
        <v>7230391</v>
      </c>
      <c r="E27" s="15">
        <f t="shared" si="0"/>
        <v>290008</v>
      </c>
      <c r="F27" s="96">
        <f t="shared" si="1"/>
        <v>1.0418</v>
      </c>
    </row>
    <row r="28" spans="1:6" ht="30" customHeight="1">
      <c r="A28" s="73" t="s">
        <v>2</v>
      </c>
      <c r="B28" s="75" t="s">
        <v>167</v>
      </c>
      <c r="C28" s="15">
        <f>CENTRALA!C9+'Razem OW'!C9</f>
        <v>4106475</v>
      </c>
      <c r="D28" s="15">
        <f>CENTRALA!D9+'Razem OW'!D9</f>
        <v>4008201</v>
      </c>
      <c r="E28" s="15">
        <f>IF(C28=D28,"-",D28-C28)</f>
        <v>-98274</v>
      </c>
      <c r="F28" s="96">
        <f t="shared" si="1"/>
        <v>0.9761</v>
      </c>
    </row>
    <row r="29" spans="1:6" ht="30" customHeight="1">
      <c r="A29" s="73" t="s">
        <v>3</v>
      </c>
      <c r="B29" s="75" t="s">
        <v>158</v>
      </c>
      <c r="C29" s="15">
        <f>CENTRALA!C10+'Razem OW'!C10</f>
        <v>23195353</v>
      </c>
      <c r="D29" s="15">
        <f>CENTRALA!D10+'Razem OW'!D10</f>
        <v>23304299</v>
      </c>
      <c r="E29" s="15">
        <f t="shared" si="0"/>
        <v>108946</v>
      </c>
      <c r="F29" s="96">
        <f t="shared" si="1"/>
        <v>1.0047</v>
      </c>
    </row>
    <row r="30" spans="1:6" ht="30" customHeight="1">
      <c r="A30" s="73" t="s">
        <v>64</v>
      </c>
      <c r="B30" s="74" t="s">
        <v>65</v>
      </c>
      <c r="C30" s="15">
        <f>CENTRALA!C11+'Razem OW'!C11</f>
        <v>1291569</v>
      </c>
      <c r="D30" s="15">
        <f>CENTRALA!D11+'Razem OW'!D11</f>
        <v>1315345</v>
      </c>
      <c r="E30" s="15">
        <f t="shared" si="0"/>
        <v>23776</v>
      </c>
      <c r="F30" s="96">
        <f t="shared" si="1"/>
        <v>1.0184</v>
      </c>
    </row>
    <row r="31" spans="1:6" ht="30" customHeight="1">
      <c r="A31" s="73" t="s">
        <v>4</v>
      </c>
      <c r="B31" s="75" t="s">
        <v>173</v>
      </c>
      <c r="C31" s="15">
        <f>CENTRALA!C12+'Razem OW'!C12</f>
        <v>1831883</v>
      </c>
      <c r="D31" s="15">
        <f>CENTRALA!D12+'Razem OW'!D12</f>
        <v>1732387</v>
      </c>
      <c r="E31" s="15">
        <f t="shared" si="0"/>
        <v>-99496</v>
      </c>
      <c r="F31" s="96">
        <f t="shared" si="1"/>
        <v>0.9457</v>
      </c>
    </row>
    <row r="32" spans="1:6" ht="30" customHeight="1">
      <c r="A32" s="73" t="s">
        <v>5</v>
      </c>
      <c r="B32" s="75" t="s">
        <v>168</v>
      </c>
      <c r="C32" s="15">
        <f>CENTRALA!C13+'Razem OW'!C13</f>
        <v>1654809</v>
      </c>
      <c r="D32" s="15">
        <f>CENTRALA!D13+'Razem OW'!D13</f>
        <v>1582913</v>
      </c>
      <c r="E32" s="15">
        <f t="shared" si="0"/>
        <v>-71896</v>
      </c>
      <c r="F32" s="96">
        <f t="shared" si="1"/>
        <v>0.9566</v>
      </c>
    </row>
    <row r="33" spans="1:6" ht="30" customHeight="1">
      <c r="A33" s="73" t="s">
        <v>6</v>
      </c>
      <c r="B33" s="75" t="s">
        <v>177</v>
      </c>
      <c r="C33" s="15">
        <f>CENTRALA!C14+'Razem OW'!C14</f>
        <v>916337</v>
      </c>
      <c r="D33" s="15">
        <f>CENTRALA!D14+'Razem OW'!D14</f>
        <v>885375</v>
      </c>
      <c r="E33" s="15">
        <f t="shared" si="0"/>
        <v>-30962</v>
      </c>
      <c r="F33" s="96">
        <f t="shared" si="1"/>
        <v>0.9662</v>
      </c>
    </row>
    <row r="34" spans="1:6" ht="30" customHeight="1">
      <c r="A34" s="73" t="s">
        <v>7</v>
      </c>
      <c r="B34" s="75" t="s">
        <v>176</v>
      </c>
      <c r="C34" s="15">
        <f>CENTRALA!C15+'Razem OW'!C15</f>
        <v>267924</v>
      </c>
      <c r="D34" s="15">
        <f>CENTRALA!D15+'Razem OW'!D15</f>
        <v>266323</v>
      </c>
      <c r="E34" s="15">
        <f>IF(C34=D34,"-",D34-C34)</f>
        <v>-1601</v>
      </c>
      <c r="F34" s="96">
        <f>IF(C34=0,"-",D34/C34)</f>
        <v>0.994</v>
      </c>
    </row>
    <row r="35" spans="1:6" ht="30" customHeight="1">
      <c r="A35" s="73" t="s">
        <v>8</v>
      </c>
      <c r="B35" s="75" t="s">
        <v>169</v>
      </c>
      <c r="C35" s="15">
        <f>CENTRALA!C16+'Razem OW'!C16</f>
        <v>1819857</v>
      </c>
      <c r="D35" s="15">
        <f>CENTRALA!D16+'Razem OW'!D16</f>
        <v>1712795</v>
      </c>
      <c r="E35" s="15">
        <f t="shared" si="0"/>
        <v>-107062</v>
      </c>
      <c r="F35" s="96">
        <f t="shared" si="1"/>
        <v>0.9412</v>
      </c>
    </row>
    <row r="36" spans="1:6" ht="30" customHeight="1">
      <c r="A36" s="73" t="s">
        <v>9</v>
      </c>
      <c r="B36" s="75" t="s">
        <v>170</v>
      </c>
      <c r="C36" s="15">
        <f>CENTRALA!C17+'Razem OW'!C17</f>
        <v>647120</v>
      </c>
      <c r="D36" s="15">
        <f>CENTRALA!D17+'Razem OW'!D17</f>
        <v>564146</v>
      </c>
      <c r="E36" s="15">
        <f t="shared" si="0"/>
        <v>-82974</v>
      </c>
      <c r="F36" s="96">
        <f t="shared" si="1"/>
        <v>0.8718</v>
      </c>
    </row>
    <row r="37" spans="1:6" ht="30" customHeight="1">
      <c r="A37" s="73" t="s">
        <v>10</v>
      </c>
      <c r="B37" s="75" t="s">
        <v>178</v>
      </c>
      <c r="C37" s="15">
        <f>CENTRALA!C18+'Razem OW'!C18</f>
        <v>40154</v>
      </c>
      <c r="D37" s="15">
        <f>CENTRALA!D18+'Razem OW'!D18</f>
        <v>37868</v>
      </c>
      <c r="E37" s="15">
        <f t="shared" si="0"/>
        <v>-2286</v>
      </c>
      <c r="F37" s="96">
        <f t="shared" si="1"/>
        <v>0.9431</v>
      </c>
    </row>
    <row r="38" spans="1:6" ht="30" customHeight="1">
      <c r="A38" s="73" t="s">
        <v>11</v>
      </c>
      <c r="B38" s="75" t="s">
        <v>171</v>
      </c>
      <c r="C38" s="15">
        <f>CENTRALA!C19+'Razem OW'!C19</f>
        <v>123022</v>
      </c>
      <c r="D38" s="15">
        <f>CENTRALA!D19+'Razem OW'!D19</f>
        <v>123032</v>
      </c>
      <c r="E38" s="15">
        <f t="shared" si="0"/>
        <v>10</v>
      </c>
      <c r="F38" s="96">
        <f t="shared" si="1"/>
        <v>1.0001</v>
      </c>
    </row>
    <row r="39" spans="1:6" ht="30" customHeight="1">
      <c r="A39" s="73" t="s">
        <v>12</v>
      </c>
      <c r="B39" s="75" t="s">
        <v>172</v>
      </c>
      <c r="C39" s="15">
        <f>CENTRALA!C20+'Razem OW'!C20</f>
        <v>1236116</v>
      </c>
      <c r="D39" s="15">
        <f>CENTRALA!D20+'Razem OW'!D20</f>
        <v>1220449</v>
      </c>
      <c r="E39" s="15">
        <f t="shared" si="0"/>
        <v>-15667</v>
      </c>
      <c r="F39" s="96">
        <f t="shared" si="1"/>
        <v>0.9873</v>
      </c>
    </row>
    <row r="40" spans="1:6" ht="30" customHeight="1">
      <c r="A40" s="73" t="s">
        <v>14</v>
      </c>
      <c r="B40" s="75" t="s">
        <v>13</v>
      </c>
      <c r="C40" s="15">
        <f>CENTRALA!C21+'Razem OW'!C21</f>
        <v>574536</v>
      </c>
      <c r="D40" s="15">
        <f>CENTRALA!D21+'Razem OW'!D21</f>
        <v>569790</v>
      </c>
      <c r="E40" s="15">
        <f t="shared" si="0"/>
        <v>-4746</v>
      </c>
      <c r="F40" s="96">
        <f t="shared" si="1"/>
        <v>0.9917</v>
      </c>
    </row>
    <row r="41" spans="1:6" ht="30" customHeight="1">
      <c r="A41" s="73" t="s">
        <v>15</v>
      </c>
      <c r="B41" s="75" t="s">
        <v>174</v>
      </c>
      <c r="C41" s="15">
        <f>CENTRALA!C22+'Razem OW'!C22</f>
        <v>8043651</v>
      </c>
      <c r="D41" s="15">
        <f>CENTRALA!D22+'Razem OW'!D22</f>
        <v>7695600</v>
      </c>
      <c r="E41" s="15">
        <f t="shared" si="0"/>
        <v>-348051</v>
      </c>
      <c r="F41" s="96">
        <f t="shared" si="1"/>
        <v>0.9567</v>
      </c>
    </row>
    <row r="42" spans="1:6" ht="30" customHeight="1">
      <c r="A42" s="73" t="s">
        <v>179</v>
      </c>
      <c r="B42" s="74" t="s">
        <v>66</v>
      </c>
      <c r="C42" s="15">
        <f>CENTRALA!C23+'Razem OW'!C23</f>
        <v>24682</v>
      </c>
      <c r="D42" s="15">
        <f>CENTRALA!D23+'Razem OW'!D23</f>
        <v>24690</v>
      </c>
      <c r="E42" s="15">
        <f t="shared" si="0"/>
        <v>8</v>
      </c>
      <c r="F42" s="96">
        <f t="shared" si="1"/>
        <v>1.0003</v>
      </c>
    </row>
    <row r="43" spans="1:6" ht="36" customHeight="1">
      <c r="A43" s="73" t="s">
        <v>16</v>
      </c>
      <c r="B43" s="75" t="s">
        <v>140</v>
      </c>
      <c r="C43" s="15">
        <f>CENTRALA!C24+'Razem OW'!C24</f>
        <v>416230</v>
      </c>
      <c r="D43" s="15">
        <f>CENTRALA!D24+'Razem OW'!D24</f>
        <v>416230</v>
      </c>
      <c r="E43" s="15" t="str">
        <f t="shared" si="0"/>
        <v>-</v>
      </c>
      <c r="F43" s="96">
        <f t="shared" si="1"/>
        <v>1</v>
      </c>
    </row>
    <row r="44" spans="1:6" ht="30" customHeight="1">
      <c r="A44" s="73" t="s">
        <v>137</v>
      </c>
      <c r="B44" s="75" t="s">
        <v>60</v>
      </c>
      <c r="C44" s="15">
        <f>CENTRALA!C25+'Razem OW'!C25</f>
        <v>11000</v>
      </c>
      <c r="D44" s="15">
        <f>CENTRALA!D25+'Razem OW'!D25</f>
        <v>11000</v>
      </c>
      <c r="E44" s="15" t="str">
        <f t="shared" si="0"/>
        <v>-</v>
      </c>
      <c r="F44" s="96">
        <f t="shared" si="1"/>
        <v>1</v>
      </c>
    </row>
    <row r="45" spans="1:6" ht="30" customHeight="1">
      <c r="A45" s="73" t="s">
        <v>138</v>
      </c>
      <c r="B45" s="75" t="s">
        <v>141</v>
      </c>
      <c r="C45" s="15">
        <f>CENTRALA!C26+'Razem OW'!C26</f>
        <v>2181108</v>
      </c>
      <c r="D45" s="15">
        <f>CENTRALA!D26+'Razem OW'!D26</f>
        <v>2659770</v>
      </c>
      <c r="E45" s="15">
        <f t="shared" si="0"/>
        <v>478662</v>
      </c>
      <c r="F45" s="96">
        <f t="shared" si="1"/>
        <v>1.2195</v>
      </c>
    </row>
    <row r="46" spans="1:6" ht="30" customHeight="1">
      <c r="A46" s="73" t="s">
        <v>139</v>
      </c>
      <c r="B46" s="75" t="s">
        <v>142</v>
      </c>
      <c r="C46" s="15">
        <f>CENTRALA!C27+'Razem OW'!C27</f>
        <v>70471</v>
      </c>
      <c r="D46" s="15">
        <f>CENTRALA!D27+'Razem OW'!D27</f>
        <v>55860</v>
      </c>
      <c r="E46" s="15">
        <f aca="true" t="shared" si="2" ref="E46:E91">IF(C46=D46,"-",D46-C46)</f>
        <v>-14611</v>
      </c>
      <c r="F46" s="96">
        <f aca="true" t="shared" si="3" ref="F46:F91">IF(C46=0,"-",D46/C46)</f>
        <v>0.7927</v>
      </c>
    </row>
    <row r="47" spans="1:91" s="14" customFormat="1" ht="30.75" customHeight="1">
      <c r="A47" s="44" t="s">
        <v>68</v>
      </c>
      <c r="B47" s="76" t="s">
        <v>115</v>
      </c>
      <c r="C47" s="29">
        <f>CENTRALA!C28+'Razem OW'!C28</f>
        <v>0</v>
      </c>
      <c r="D47" s="29">
        <f>CENTRALA!D28+'Razem OW'!D28</f>
        <v>0</v>
      </c>
      <c r="E47" s="29" t="str">
        <f t="shared" si="2"/>
        <v>-</v>
      </c>
      <c r="F47" s="98" t="str">
        <f t="shared" si="3"/>
        <v>-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</row>
    <row r="48" spans="1:91" s="14" customFormat="1" ht="30.75" customHeight="1">
      <c r="A48" s="44" t="s">
        <v>67</v>
      </c>
      <c r="B48" s="76" t="s">
        <v>70</v>
      </c>
      <c r="C48" s="13">
        <f>CENTRALA!C29+'Razem OW'!C29</f>
        <v>1730500</v>
      </c>
      <c r="D48" s="13">
        <f>CENTRALA!D29+'Razem OW'!D29</f>
        <v>1730500</v>
      </c>
      <c r="E48" s="13" t="str">
        <f t="shared" si="2"/>
        <v>-</v>
      </c>
      <c r="F48" s="95">
        <f t="shared" si="3"/>
        <v>1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</row>
    <row r="49" spans="1:91" s="14" customFormat="1" ht="33" customHeight="1">
      <c r="A49" s="64" t="s">
        <v>185</v>
      </c>
      <c r="B49" s="65" t="s">
        <v>150</v>
      </c>
      <c r="C49" s="13">
        <f>C19-C24</f>
        <v>-1209580</v>
      </c>
      <c r="D49" s="13">
        <f>D19-D24</f>
        <v>-1209580</v>
      </c>
      <c r="E49" s="13" t="str">
        <f t="shared" si="2"/>
        <v>-</v>
      </c>
      <c r="F49" s="95">
        <f t="shared" si="3"/>
        <v>1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</row>
    <row r="50" spans="1:91" s="14" customFormat="1" ht="33" customHeight="1">
      <c r="A50" s="64" t="s">
        <v>186</v>
      </c>
      <c r="B50" s="65" t="s">
        <v>149</v>
      </c>
      <c r="C50" s="13">
        <f>C51+C52+C53+C61+C62+C67+C68+C69+C70</f>
        <v>637976</v>
      </c>
      <c r="D50" s="13">
        <f>D51+D52+D53+D61+D62+D67+D68+D69+D70</f>
        <v>637976</v>
      </c>
      <c r="E50" s="13" t="str">
        <f t="shared" si="2"/>
        <v>-</v>
      </c>
      <c r="F50" s="95">
        <f t="shared" si="3"/>
        <v>1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</row>
    <row r="51" spans="1:6" ht="30" customHeight="1">
      <c r="A51" s="66" t="s">
        <v>19</v>
      </c>
      <c r="B51" s="62" t="s">
        <v>20</v>
      </c>
      <c r="C51" s="15">
        <f>CENTRALA!C31+'Razem OW'!C31</f>
        <v>20403</v>
      </c>
      <c r="D51" s="15">
        <f>CENTRALA!D31+'Razem OW'!D31</f>
        <v>20403</v>
      </c>
      <c r="E51" s="15" t="str">
        <f t="shared" si="2"/>
        <v>-</v>
      </c>
      <c r="F51" s="96">
        <f t="shared" si="3"/>
        <v>1</v>
      </c>
    </row>
    <row r="52" spans="1:6" ht="30" customHeight="1">
      <c r="A52" s="66" t="s">
        <v>21</v>
      </c>
      <c r="B52" s="62" t="s">
        <v>22</v>
      </c>
      <c r="C52" s="15">
        <f>CENTRALA!C32+'Razem OW'!C32</f>
        <v>125096</v>
      </c>
      <c r="D52" s="15">
        <f>CENTRALA!D32+'Razem OW'!D32</f>
        <v>125096</v>
      </c>
      <c r="E52" s="15" t="str">
        <f t="shared" si="2"/>
        <v>-</v>
      </c>
      <c r="F52" s="96">
        <f t="shared" si="3"/>
        <v>1</v>
      </c>
    </row>
    <row r="53" spans="1:6" ht="30" customHeight="1">
      <c r="A53" s="66" t="s">
        <v>23</v>
      </c>
      <c r="B53" s="77" t="s">
        <v>37</v>
      </c>
      <c r="C53" s="15">
        <f>C54+C56+C57+C58+C59+C60</f>
        <v>3903</v>
      </c>
      <c r="D53" s="15">
        <f>D54+D56+D57+D58+D59+D60</f>
        <v>3903</v>
      </c>
      <c r="E53" s="15" t="str">
        <f t="shared" si="2"/>
        <v>-</v>
      </c>
      <c r="F53" s="96">
        <f t="shared" si="3"/>
        <v>1</v>
      </c>
    </row>
    <row r="54" spans="1:6" s="17" customFormat="1" ht="30" customHeight="1">
      <c r="A54" s="78" t="s">
        <v>45</v>
      </c>
      <c r="B54" s="79" t="s">
        <v>38</v>
      </c>
      <c r="C54" s="15">
        <f>CENTRALA!C34+'Razem OW'!C34</f>
        <v>467</v>
      </c>
      <c r="D54" s="15">
        <f>CENTRALA!D34+'Razem OW'!D34</f>
        <v>467</v>
      </c>
      <c r="E54" s="15" t="str">
        <f t="shared" si="2"/>
        <v>-</v>
      </c>
      <c r="F54" s="96">
        <f t="shared" si="3"/>
        <v>1</v>
      </c>
    </row>
    <row r="55" spans="1:6" s="17" customFormat="1" ht="30" customHeight="1">
      <c r="A55" s="78" t="s">
        <v>46</v>
      </c>
      <c r="B55" s="80" t="s">
        <v>39</v>
      </c>
      <c r="C55" s="15">
        <f>CENTRALA!C35+'Razem OW'!C35</f>
        <v>444</v>
      </c>
      <c r="D55" s="15">
        <f>CENTRALA!D35+'Razem OW'!D35</f>
        <v>444</v>
      </c>
      <c r="E55" s="15" t="str">
        <f t="shared" si="2"/>
        <v>-</v>
      </c>
      <c r="F55" s="96">
        <f t="shared" si="3"/>
        <v>1</v>
      </c>
    </row>
    <row r="56" spans="1:6" s="17" customFormat="1" ht="30" customHeight="1">
      <c r="A56" s="78" t="s">
        <v>47</v>
      </c>
      <c r="B56" s="79" t="s">
        <v>40</v>
      </c>
      <c r="C56" s="15">
        <f>CENTRALA!C36+'Razem OW'!C36</f>
        <v>118</v>
      </c>
      <c r="D56" s="15">
        <f>CENTRALA!D36+'Razem OW'!D36</f>
        <v>118</v>
      </c>
      <c r="E56" s="15" t="str">
        <f t="shared" si="2"/>
        <v>-</v>
      </c>
      <c r="F56" s="96">
        <f t="shared" si="3"/>
        <v>1</v>
      </c>
    </row>
    <row r="57" spans="1:6" s="17" customFormat="1" ht="30" customHeight="1">
      <c r="A57" s="78" t="s">
        <v>48</v>
      </c>
      <c r="B57" s="79" t="s">
        <v>41</v>
      </c>
      <c r="C57" s="15">
        <f>CENTRALA!C37+'Razem OW'!C37</f>
        <v>18</v>
      </c>
      <c r="D57" s="15">
        <f>CENTRALA!D37+'Razem OW'!D37</f>
        <v>18</v>
      </c>
      <c r="E57" s="15" t="str">
        <f t="shared" si="2"/>
        <v>-</v>
      </c>
      <c r="F57" s="96">
        <f t="shared" si="3"/>
        <v>1</v>
      </c>
    </row>
    <row r="58" spans="1:6" s="17" customFormat="1" ht="30" customHeight="1">
      <c r="A58" s="78" t="s">
        <v>49</v>
      </c>
      <c r="B58" s="79" t="s">
        <v>42</v>
      </c>
      <c r="C58" s="15">
        <f>CENTRALA!C38+'Razem OW'!C38</f>
        <v>0</v>
      </c>
      <c r="D58" s="15">
        <f>CENTRALA!D38+'Razem OW'!D38</f>
        <v>0</v>
      </c>
      <c r="E58" s="15" t="str">
        <f t="shared" si="2"/>
        <v>-</v>
      </c>
      <c r="F58" s="96" t="str">
        <f t="shared" si="3"/>
        <v>-</v>
      </c>
    </row>
    <row r="59" spans="1:6" s="17" customFormat="1" ht="30" customHeight="1">
      <c r="A59" s="78" t="s">
        <v>50</v>
      </c>
      <c r="B59" s="79" t="s">
        <v>43</v>
      </c>
      <c r="C59" s="15">
        <f>CENTRALA!C39+'Razem OW'!C39</f>
        <v>3092</v>
      </c>
      <c r="D59" s="15">
        <f>CENTRALA!D39+'Razem OW'!D39</f>
        <v>3092</v>
      </c>
      <c r="E59" s="15" t="str">
        <f t="shared" si="2"/>
        <v>-</v>
      </c>
      <c r="F59" s="96">
        <f t="shared" si="3"/>
        <v>1</v>
      </c>
    </row>
    <row r="60" spans="1:6" s="18" customFormat="1" ht="30" customHeight="1">
      <c r="A60" s="78" t="s">
        <v>51</v>
      </c>
      <c r="B60" s="79" t="s">
        <v>44</v>
      </c>
      <c r="C60" s="15">
        <f>CENTRALA!C40+'Razem OW'!C40</f>
        <v>208</v>
      </c>
      <c r="D60" s="15">
        <f>CENTRALA!D40+'Razem OW'!D40</f>
        <v>208</v>
      </c>
      <c r="E60" s="15" t="str">
        <f t="shared" si="2"/>
        <v>-</v>
      </c>
      <c r="F60" s="96">
        <f t="shared" si="3"/>
        <v>1</v>
      </c>
    </row>
    <row r="61" spans="1:6" ht="30" customHeight="1">
      <c r="A61" s="43" t="s">
        <v>24</v>
      </c>
      <c r="B61" s="62" t="s">
        <v>25</v>
      </c>
      <c r="C61" s="15">
        <f>CENTRALA!C41+'Razem OW'!C41</f>
        <v>299920</v>
      </c>
      <c r="D61" s="15">
        <f>CENTRALA!D41+'Razem OW'!D41</f>
        <v>299920</v>
      </c>
      <c r="E61" s="15" t="str">
        <f t="shared" si="2"/>
        <v>-</v>
      </c>
      <c r="F61" s="96">
        <f t="shared" si="3"/>
        <v>1</v>
      </c>
    </row>
    <row r="62" spans="1:6" ht="30" customHeight="1">
      <c r="A62" s="66" t="s">
        <v>26</v>
      </c>
      <c r="B62" s="71" t="s">
        <v>61</v>
      </c>
      <c r="C62" s="15">
        <f>SUM(C63:C66)</f>
        <v>61426</v>
      </c>
      <c r="D62" s="15">
        <f>SUM(D63:D66)</f>
        <v>61426</v>
      </c>
      <c r="E62" s="15" t="str">
        <f t="shared" si="2"/>
        <v>-</v>
      </c>
      <c r="F62" s="96">
        <f t="shared" si="3"/>
        <v>1</v>
      </c>
    </row>
    <row r="63" spans="1:6" s="17" customFormat="1" ht="30" customHeight="1">
      <c r="A63" s="78" t="s">
        <v>56</v>
      </c>
      <c r="B63" s="79" t="s">
        <v>52</v>
      </c>
      <c r="C63" s="15">
        <f>CENTRALA!C43+'Razem OW'!C43</f>
        <v>45362</v>
      </c>
      <c r="D63" s="15">
        <f>CENTRALA!D43+'Razem OW'!D43</f>
        <v>45362</v>
      </c>
      <c r="E63" s="15" t="str">
        <f t="shared" si="2"/>
        <v>-</v>
      </c>
      <c r="F63" s="96">
        <f t="shared" si="3"/>
        <v>1</v>
      </c>
    </row>
    <row r="64" spans="1:6" s="17" customFormat="1" ht="30" customHeight="1">
      <c r="A64" s="78" t="s">
        <v>57</v>
      </c>
      <c r="B64" s="79" t="s">
        <v>53</v>
      </c>
      <c r="C64" s="15">
        <f>CENTRALA!C44+'Razem OW'!C44</f>
        <v>7349</v>
      </c>
      <c r="D64" s="15">
        <f>CENTRALA!D44+'Razem OW'!D44</f>
        <v>7349</v>
      </c>
      <c r="E64" s="15" t="str">
        <f t="shared" si="2"/>
        <v>-</v>
      </c>
      <c r="F64" s="96">
        <f t="shared" si="3"/>
        <v>1</v>
      </c>
    </row>
    <row r="65" spans="1:6" s="17" customFormat="1" ht="30" customHeight="1">
      <c r="A65" s="78" t="s">
        <v>58</v>
      </c>
      <c r="B65" s="79" t="s">
        <v>54</v>
      </c>
      <c r="C65" s="15">
        <f>CENTRALA!C45+'Razem OW'!C45</f>
        <v>0</v>
      </c>
      <c r="D65" s="15">
        <f>CENTRALA!D45+'Razem OW'!D45</f>
        <v>0</v>
      </c>
      <c r="E65" s="15" t="str">
        <f t="shared" si="2"/>
        <v>-</v>
      </c>
      <c r="F65" s="96" t="str">
        <f t="shared" si="3"/>
        <v>-</v>
      </c>
    </row>
    <row r="66" spans="1:6" s="17" customFormat="1" ht="30" customHeight="1">
      <c r="A66" s="78" t="s">
        <v>59</v>
      </c>
      <c r="B66" s="79" t="s">
        <v>55</v>
      </c>
      <c r="C66" s="15">
        <f>CENTRALA!C46+'Razem OW'!C46</f>
        <v>8715</v>
      </c>
      <c r="D66" s="15">
        <f>CENTRALA!D46+'Razem OW'!D46</f>
        <v>8715</v>
      </c>
      <c r="E66" s="15" t="str">
        <f t="shared" si="2"/>
        <v>-</v>
      </c>
      <c r="F66" s="96">
        <f t="shared" si="3"/>
        <v>1</v>
      </c>
    </row>
    <row r="67" spans="1:6" ht="30" customHeight="1">
      <c r="A67" s="66" t="s">
        <v>27</v>
      </c>
      <c r="B67" s="67" t="s">
        <v>28</v>
      </c>
      <c r="C67" s="15">
        <f>CENTRALA!C47+'Razem OW'!C47</f>
        <v>200</v>
      </c>
      <c r="D67" s="15">
        <f>CENTRALA!D47+'Razem OW'!D47</f>
        <v>200</v>
      </c>
      <c r="E67" s="15" t="str">
        <f t="shared" si="2"/>
        <v>-</v>
      </c>
      <c r="F67" s="96">
        <f t="shared" si="3"/>
        <v>1</v>
      </c>
    </row>
    <row r="68" spans="1:6" ht="42" customHeight="1">
      <c r="A68" s="66" t="s">
        <v>29</v>
      </c>
      <c r="B68" s="67" t="s">
        <v>116</v>
      </c>
      <c r="C68" s="15">
        <f>CENTRALA!C48+'Razem OW'!C48</f>
        <v>117037</v>
      </c>
      <c r="D68" s="15">
        <f>CENTRALA!D48+'Razem OW'!D48</f>
        <v>117037</v>
      </c>
      <c r="E68" s="15" t="str">
        <f t="shared" si="2"/>
        <v>-</v>
      </c>
      <c r="F68" s="96">
        <f t="shared" si="3"/>
        <v>1</v>
      </c>
    </row>
    <row r="69" spans="1:6" ht="42" customHeight="1">
      <c r="A69" s="66" t="s">
        <v>30</v>
      </c>
      <c r="B69" s="67" t="s">
        <v>31</v>
      </c>
      <c r="C69" s="15">
        <f>CENTRALA!C49+'Razem OW'!C49</f>
        <v>3753</v>
      </c>
      <c r="D69" s="15">
        <f>CENTRALA!D49+'Razem OW'!D49</f>
        <v>3753</v>
      </c>
      <c r="E69" s="15" t="str">
        <f t="shared" si="2"/>
        <v>-</v>
      </c>
      <c r="F69" s="96">
        <f t="shared" si="3"/>
        <v>1</v>
      </c>
    </row>
    <row r="70" spans="1:6" ht="30" customHeight="1">
      <c r="A70" s="66" t="s">
        <v>32</v>
      </c>
      <c r="B70" s="67" t="s">
        <v>33</v>
      </c>
      <c r="C70" s="15">
        <f>CENTRALA!C50+'Razem OW'!C50</f>
        <v>6238</v>
      </c>
      <c r="D70" s="15">
        <f>CENTRALA!D50+'Razem OW'!D50</f>
        <v>6238</v>
      </c>
      <c r="E70" s="15" t="str">
        <f t="shared" si="2"/>
        <v>-</v>
      </c>
      <c r="F70" s="96">
        <f t="shared" si="3"/>
        <v>1</v>
      </c>
    </row>
    <row r="71" spans="1:91" s="14" customFormat="1" ht="33" customHeight="1">
      <c r="A71" s="81" t="s">
        <v>187</v>
      </c>
      <c r="B71" s="82" t="s">
        <v>190</v>
      </c>
      <c r="C71" s="13">
        <f>SUM(C72:C73)</f>
        <v>2219921</v>
      </c>
      <c r="D71" s="13">
        <f>SUM(D72:D73)</f>
        <v>3557</v>
      </c>
      <c r="E71" s="13">
        <f t="shared" si="2"/>
        <v>-2216364</v>
      </c>
      <c r="F71" s="95">
        <f t="shared" si="3"/>
        <v>0.0016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</row>
    <row r="72" spans="1:6" ht="72" customHeight="1">
      <c r="A72" s="66" t="s">
        <v>117</v>
      </c>
      <c r="B72" s="67" t="s">
        <v>201</v>
      </c>
      <c r="C72" s="15">
        <v>1796</v>
      </c>
      <c r="D72" s="15">
        <f>C72</f>
        <v>1796</v>
      </c>
      <c r="E72" s="15" t="str">
        <f t="shared" si="2"/>
        <v>-</v>
      </c>
      <c r="F72" s="96">
        <f t="shared" si="3"/>
        <v>1</v>
      </c>
    </row>
    <row r="73" spans="1:6" ht="30" customHeight="1">
      <c r="A73" s="66" t="s">
        <v>153</v>
      </c>
      <c r="B73" s="71" t="s">
        <v>118</v>
      </c>
      <c r="C73" s="15">
        <f>1761+2216364</f>
        <v>2218125</v>
      </c>
      <c r="D73" s="15">
        <f>C73-2216364</f>
        <v>1761</v>
      </c>
      <c r="E73" s="15">
        <f t="shared" si="2"/>
        <v>-2216364</v>
      </c>
      <c r="F73" s="96">
        <f t="shared" si="3"/>
        <v>0.0008</v>
      </c>
    </row>
    <row r="74" spans="1:91" s="14" customFormat="1" ht="33" customHeight="1">
      <c r="A74" s="81" t="s">
        <v>191</v>
      </c>
      <c r="B74" s="82" t="s">
        <v>188</v>
      </c>
      <c r="C74" s="13">
        <f>C75+C76+C77+C78</f>
        <v>307744</v>
      </c>
      <c r="D74" s="13">
        <f>D75+D76+D77+D78</f>
        <v>307744</v>
      </c>
      <c r="E74" s="13" t="str">
        <f t="shared" si="2"/>
        <v>-</v>
      </c>
      <c r="F74" s="95">
        <f t="shared" si="3"/>
        <v>1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</row>
    <row r="75" spans="1:6" ht="47.25" customHeight="1">
      <c r="A75" s="66" t="s">
        <v>119</v>
      </c>
      <c r="B75" s="67" t="s">
        <v>144</v>
      </c>
      <c r="C75" s="15">
        <f>'[4]CENTRALA'!C52+'[4]Razem OW'!C52</f>
        <v>92669</v>
      </c>
      <c r="D75" s="15">
        <f>CENTRALA!D52+'Razem OW'!D52</f>
        <v>92669</v>
      </c>
      <c r="E75" s="15" t="str">
        <f t="shared" si="2"/>
        <v>-</v>
      </c>
      <c r="F75" s="96">
        <f t="shared" si="3"/>
        <v>1</v>
      </c>
    </row>
    <row r="76" spans="1:6" ht="33.75" customHeight="1">
      <c r="A76" s="66" t="s">
        <v>35</v>
      </c>
      <c r="B76" s="67" t="s">
        <v>63</v>
      </c>
      <c r="C76" s="15">
        <f>'[4]CENTRALA'!C53+'[4]Razem OW'!C53</f>
        <v>200219</v>
      </c>
      <c r="D76" s="15">
        <f>CENTRALA!D53+'Razem OW'!D53</f>
        <v>200219</v>
      </c>
      <c r="E76" s="15" t="str">
        <f t="shared" si="2"/>
        <v>-</v>
      </c>
      <c r="F76" s="96">
        <f t="shared" si="3"/>
        <v>1</v>
      </c>
    </row>
    <row r="77" spans="1:6" ht="30" customHeight="1">
      <c r="A77" s="66" t="s">
        <v>36</v>
      </c>
      <c r="B77" s="67" t="s">
        <v>121</v>
      </c>
      <c r="C77" s="15">
        <f>'[4]CENTRALA'!C54+'[4]Razem OW'!C54</f>
        <v>0</v>
      </c>
      <c r="D77" s="15">
        <f>CENTRALA!D54+'Razem OW'!D54</f>
        <v>0</v>
      </c>
      <c r="E77" s="15" t="str">
        <f t="shared" si="2"/>
        <v>-</v>
      </c>
      <c r="F77" s="96" t="str">
        <f t="shared" si="3"/>
        <v>-</v>
      </c>
    </row>
    <row r="78" spans="1:6" ht="30" customHeight="1">
      <c r="A78" s="66" t="s">
        <v>120</v>
      </c>
      <c r="B78" s="71" t="s">
        <v>122</v>
      </c>
      <c r="C78" s="15">
        <f>'[4]CENTRALA'!C55+'[4]Razem OW'!C55</f>
        <v>14856</v>
      </c>
      <c r="D78" s="15">
        <f>CENTRALA!D55+'Razem OW'!D55</f>
        <v>14856</v>
      </c>
      <c r="E78" s="15" t="str">
        <f t="shared" si="2"/>
        <v>-</v>
      </c>
      <c r="F78" s="96">
        <f t="shared" si="3"/>
        <v>1</v>
      </c>
    </row>
    <row r="79" spans="1:91" s="14" customFormat="1" ht="33" customHeight="1">
      <c r="A79" s="81" t="s">
        <v>192</v>
      </c>
      <c r="B79" s="82" t="s">
        <v>148</v>
      </c>
      <c r="C79" s="13">
        <f>C80+C81</f>
        <v>11730</v>
      </c>
      <c r="D79" s="13">
        <f>D80+D81</f>
        <v>11730</v>
      </c>
      <c r="E79" s="13" t="str">
        <f t="shared" si="2"/>
        <v>-</v>
      </c>
      <c r="F79" s="95">
        <f t="shared" si="3"/>
        <v>1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</row>
    <row r="80" spans="1:6" ht="30" customHeight="1">
      <c r="A80" s="66" t="s">
        <v>123</v>
      </c>
      <c r="B80" s="67" t="s">
        <v>124</v>
      </c>
      <c r="C80" s="15">
        <v>11730</v>
      </c>
      <c r="D80" s="15">
        <f>C80</f>
        <v>11730</v>
      </c>
      <c r="E80" s="15" t="str">
        <f t="shared" si="2"/>
        <v>-</v>
      </c>
      <c r="F80" s="96">
        <f t="shared" si="3"/>
        <v>1</v>
      </c>
    </row>
    <row r="81" spans="1:6" ht="30" customHeight="1">
      <c r="A81" s="66" t="s">
        <v>125</v>
      </c>
      <c r="B81" s="71" t="s">
        <v>126</v>
      </c>
      <c r="C81" s="15">
        <v>0</v>
      </c>
      <c r="D81" s="15">
        <f>C81</f>
        <v>0</v>
      </c>
      <c r="E81" s="15" t="str">
        <f t="shared" si="2"/>
        <v>-</v>
      </c>
      <c r="F81" s="96" t="str">
        <f t="shared" si="3"/>
        <v>-</v>
      </c>
    </row>
    <row r="82" spans="1:91" s="14" customFormat="1" ht="39.75" customHeight="1">
      <c r="A82" s="81" t="s">
        <v>193</v>
      </c>
      <c r="B82" s="82" t="s">
        <v>155</v>
      </c>
      <c r="C82" s="13">
        <f>'[4]CENTRALA'!C56+'[4]Razem OW'!C56</f>
        <v>76351</v>
      </c>
      <c r="D82" s="13">
        <f>CENTRALA!D56+'Razem OW'!D56</f>
        <v>76351</v>
      </c>
      <c r="E82" s="13" t="str">
        <f t="shared" si="2"/>
        <v>-</v>
      </c>
      <c r="F82" s="95">
        <f t="shared" si="3"/>
        <v>1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</row>
    <row r="83" spans="1:91" s="14" customFormat="1" ht="64.5" customHeight="1">
      <c r="A83" s="81" t="s">
        <v>194</v>
      </c>
      <c r="B83" s="82" t="s">
        <v>136</v>
      </c>
      <c r="C83" s="13">
        <f>C49-C50+C71-C74+C79-C82</f>
        <v>0</v>
      </c>
      <c r="D83" s="13">
        <f>D49-D50+D71-D74+D79-D82</f>
        <v>-2216364</v>
      </c>
      <c r="E83" s="13">
        <f t="shared" si="2"/>
        <v>-2216364</v>
      </c>
      <c r="F83" s="95" t="str">
        <f t="shared" si="3"/>
        <v>-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</row>
    <row r="84" spans="1:91" s="14" customFormat="1" ht="33" customHeight="1">
      <c r="A84" s="81" t="s">
        <v>195</v>
      </c>
      <c r="B84" s="82" t="s">
        <v>146</v>
      </c>
      <c r="C84" s="13">
        <f>C85-C86</f>
        <v>0</v>
      </c>
      <c r="D84" s="13">
        <f>D85-D86</f>
        <v>0</v>
      </c>
      <c r="E84" s="13" t="str">
        <f t="shared" si="2"/>
        <v>-</v>
      </c>
      <c r="F84" s="95" t="str">
        <f t="shared" si="3"/>
        <v>-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</row>
    <row r="85" spans="1:6" ht="30" customHeight="1">
      <c r="A85" s="66" t="s">
        <v>128</v>
      </c>
      <c r="B85" s="67" t="s">
        <v>129</v>
      </c>
      <c r="C85" s="15">
        <v>0</v>
      </c>
      <c r="D85" s="15">
        <f>C85</f>
        <v>0</v>
      </c>
      <c r="E85" s="15" t="str">
        <f t="shared" si="2"/>
        <v>-</v>
      </c>
      <c r="F85" s="96" t="str">
        <f t="shared" si="3"/>
        <v>-</v>
      </c>
    </row>
    <row r="86" spans="1:6" ht="30" customHeight="1">
      <c r="A86" s="66" t="s">
        <v>130</v>
      </c>
      <c r="B86" s="67" t="s">
        <v>131</v>
      </c>
      <c r="C86" s="15">
        <v>0</v>
      </c>
      <c r="D86" s="15">
        <f>C86</f>
        <v>0</v>
      </c>
      <c r="E86" s="15" t="str">
        <f t="shared" si="2"/>
        <v>-</v>
      </c>
      <c r="F86" s="96" t="str">
        <f t="shared" si="3"/>
        <v>-</v>
      </c>
    </row>
    <row r="87" spans="1:6" s="19" customFormat="1" ht="33" customHeight="1">
      <c r="A87" s="81" t="s">
        <v>196</v>
      </c>
      <c r="B87" s="83" t="s">
        <v>147</v>
      </c>
      <c r="C87" s="85">
        <f>C83+C84</f>
        <v>0</v>
      </c>
      <c r="D87" s="85">
        <f>D83+D84</f>
        <v>-2216364</v>
      </c>
      <c r="E87" s="85">
        <f t="shared" si="2"/>
        <v>-2216364</v>
      </c>
      <c r="F87" s="99" t="str">
        <f t="shared" si="3"/>
        <v>-</v>
      </c>
    </row>
    <row r="88" spans="1:6" s="19" customFormat="1" ht="69" customHeight="1">
      <c r="A88" s="81" t="s">
        <v>197</v>
      </c>
      <c r="B88" s="83" t="s">
        <v>132</v>
      </c>
      <c r="C88" s="85">
        <v>0</v>
      </c>
      <c r="D88" s="85">
        <v>0</v>
      </c>
      <c r="E88" s="85" t="str">
        <f t="shared" si="2"/>
        <v>-</v>
      </c>
      <c r="F88" s="99" t="str">
        <f t="shared" si="3"/>
        <v>-</v>
      </c>
    </row>
    <row r="89" spans="1:6" s="19" customFormat="1" ht="33" customHeight="1">
      <c r="A89" s="81" t="s">
        <v>198</v>
      </c>
      <c r="B89" s="83" t="s">
        <v>156</v>
      </c>
      <c r="C89" s="85">
        <f>C87-C88</f>
        <v>0</v>
      </c>
      <c r="D89" s="85">
        <f>D87-D88</f>
        <v>-2216364</v>
      </c>
      <c r="E89" s="85">
        <f t="shared" si="2"/>
        <v>-2216364</v>
      </c>
      <c r="F89" s="99" t="str">
        <f t="shared" si="3"/>
        <v>-</v>
      </c>
    </row>
    <row r="90" spans="1:6" s="19" customFormat="1" ht="33" customHeight="1">
      <c r="A90" s="64" t="s">
        <v>199</v>
      </c>
      <c r="B90" s="84" t="s">
        <v>133</v>
      </c>
      <c r="C90" s="85">
        <f>C7+C13+C20+C21+C22+C23+C71+C79</f>
        <v>57465879</v>
      </c>
      <c r="D90" s="85">
        <f>D7+D13+D20+D21+D22+D23+D71+D79</f>
        <v>55249515</v>
      </c>
      <c r="E90" s="85">
        <f t="shared" si="2"/>
        <v>-2216364</v>
      </c>
      <c r="F90" s="99">
        <f t="shared" si="3"/>
        <v>0.9614</v>
      </c>
    </row>
    <row r="91" spans="1:6" s="19" customFormat="1" ht="33" customHeight="1">
      <c r="A91" s="81" t="s">
        <v>200</v>
      </c>
      <c r="B91" s="83" t="s">
        <v>134</v>
      </c>
      <c r="C91" s="85">
        <f>C10+C16+C25+C26+C47+C48+C50+C74+C82</f>
        <v>57465879</v>
      </c>
      <c r="D91" s="85">
        <f>D10+D16+D25+D26+D47+D48+D50+D74+D82</f>
        <v>57465879</v>
      </c>
      <c r="E91" s="85" t="str">
        <f t="shared" si="2"/>
        <v>-</v>
      </c>
      <c r="F91" s="99">
        <f t="shared" si="3"/>
        <v>1</v>
      </c>
    </row>
    <row r="92" spans="1:3" ht="26.25">
      <c r="A92" s="20"/>
      <c r="B92" s="21"/>
      <c r="C92" s="22"/>
    </row>
    <row r="93" spans="1:3" ht="25.5">
      <c r="A93" s="24"/>
      <c r="B93" s="21"/>
      <c r="C93" s="25"/>
    </row>
    <row r="94" spans="1:3" ht="25.5">
      <c r="A94" s="20"/>
      <c r="B94" s="21"/>
      <c r="C94" s="25"/>
    </row>
    <row r="95" spans="1:3" ht="25.5">
      <c r="A95" s="20"/>
      <c r="B95" s="21"/>
      <c r="C95" s="25"/>
    </row>
    <row r="96" spans="1:3" ht="25.5">
      <c r="A96" s="20"/>
      <c r="B96" s="21"/>
      <c r="C96" s="26"/>
    </row>
    <row r="97" spans="1:3" ht="26.25">
      <c r="A97" s="20"/>
      <c r="B97" s="21"/>
      <c r="C97" s="27"/>
    </row>
    <row r="98" spans="1:3" ht="26.25">
      <c r="A98" s="20"/>
      <c r="B98" s="21"/>
      <c r="C98" s="23"/>
    </row>
    <row r="99" spans="1:3" ht="26.25">
      <c r="A99" s="20"/>
      <c r="B99" s="21"/>
      <c r="C99" s="23"/>
    </row>
    <row r="100" spans="1:3" ht="26.25">
      <c r="A100" s="20"/>
      <c r="B100" s="21"/>
      <c r="C100" s="23"/>
    </row>
    <row r="101" spans="1:3" ht="26.25">
      <c r="A101" s="20"/>
      <c r="B101" s="21"/>
      <c r="C101" s="23"/>
    </row>
    <row r="102" spans="1:3" ht="26.25">
      <c r="A102" s="20"/>
      <c r="B102" s="21"/>
      <c r="C102" s="23"/>
    </row>
    <row r="103" spans="1:3" ht="26.25">
      <c r="A103" s="20"/>
      <c r="B103" s="21"/>
      <c r="C103" s="23"/>
    </row>
    <row r="104" spans="1:3" ht="26.25">
      <c r="A104" s="20"/>
      <c r="B104" s="21"/>
      <c r="C104" s="23"/>
    </row>
    <row r="105" ht="26.25">
      <c r="C105" s="23"/>
    </row>
    <row r="106" ht="26.25">
      <c r="C106" s="23"/>
    </row>
    <row r="107" ht="26.25">
      <c r="C107" s="23"/>
    </row>
    <row r="108" ht="26.25">
      <c r="C108" s="23"/>
    </row>
    <row r="109" ht="26.25">
      <c r="C109" s="23"/>
    </row>
    <row r="110" ht="26.25">
      <c r="C110" s="23"/>
    </row>
    <row r="111" ht="26.25">
      <c r="C111" s="23"/>
    </row>
    <row r="112" ht="26.25">
      <c r="C112" s="23"/>
    </row>
    <row r="113" ht="26.25">
      <c r="C113" s="23"/>
    </row>
    <row r="114" ht="26.25">
      <c r="C114" s="23"/>
    </row>
    <row r="115" ht="26.25">
      <c r="C115" s="23"/>
    </row>
    <row r="116" ht="26.25">
      <c r="C116" s="23"/>
    </row>
    <row r="117" ht="26.25">
      <c r="C117" s="23"/>
    </row>
    <row r="118" ht="26.25">
      <c r="C118" s="23"/>
    </row>
    <row r="119" ht="26.25">
      <c r="C119" s="23"/>
    </row>
    <row r="120" ht="26.25">
      <c r="C120" s="23"/>
    </row>
    <row r="121" ht="26.25">
      <c r="C121" s="23"/>
    </row>
  </sheetData>
  <sheetProtection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2" horizontalDpi="600" verticalDpi="600" orientation="portrait" paperSize="9" scale="42" r:id="rId1"/>
  <headerFooter alignWithMargins="0">
    <oddFooter>&amp;R&amp;20&amp;P</oddFooter>
  </headerFooter>
  <rowBreaks count="1" manualBreakCount="1">
    <brk id="49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G1" sqref="G1:AA16384"/>
      <selection pane="topRight" activeCell="G1" sqref="G1:AA16384"/>
      <selection pane="bottomLeft" activeCell="G1" sqref="G1:AA16384"/>
      <selection pane="bottomRight" activeCell="G1" sqref="G1:AA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8" width="0" style="2" hidden="1" customWidth="1"/>
    <col min="9" max="9" width="16.75390625" style="2" hidden="1" customWidth="1"/>
    <col min="10" max="27" width="0" style="2" hidden="1" customWidth="1"/>
    <col min="28" max="16384" width="9.125" style="2" customWidth="1"/>
  </cols>
  <sheetData>
    <row r="1" spans="1:6" s="59" customFormat="1" ht="38.25" customHeight="1">
      <c r="A1" s="129" t="str">
        <f>NFZ!A1</f>
        <v>ZMIANA PLANU FINANSOWEGO NARODOWEGO FUNDUSZU ZDROWIA NA 2010 ROK Z 16 GRUDNIA 2009 ROKU</v>
      </c>
      <c r="B1" s="129"/>
      <c r="C1" s="129"/>
      <c r="D1" s="129"/>
      <c r="E1" s="129"/>
      <c r="F1" s="129"/>
    </row>
    <row r="2" spans="1:3" s="61" customFormat="1" ht="33" customHeight="1">
      <c r="A2" s="130" t="s">
        <v>77</v>
      </c>
      <c r="B2" s="130"/>
      <c r="C2" s="130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2" t="s">
        <v>165</v>
      </c>
      <c r="B4" s="131" t="s">
        <v>62</v>
      </c>
      <c r="C4" s="127" t="s">
        <v>202</v>
      </c>
      <c r="D4" s="124" t="s">
        <v>159</v>
      </c>
      <c r="E4" s="126" t="s">
        <v>164</v>
      </c>
      <c r="F4" s="126" t="s">
        <v>163</v>
      </c>
    </row>
    <row r="5" spans="1:6" s="6" customFormat="1" ht="33" customHeight="1">
      <c r="A5" s="131"/>
      <c r="B5" s="131"/>
      <c r="C5" s="128"/>
      <c r="D5" s="125"/>
      <c r="E5" s="126"/>
      <c r="F5" s="126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9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8491987</v>
      </c>
      <c r="D7" s="16">
        <f>D8+D9+D10+D12+D13+D14+D15+D16+D17+D18+D19+D20+D21+D22+D24+D25+D26+D27</f>
        <v>8356065</v>
      </c>
      <c r="E7" s="13">
        <f>IF(C7=D7,"-",D7-C7)</f>
        <v>-135922</v>
      </c>
      <c r="F7" s="88">
        <f>IF(C7=0,"-",D7/C7)</f>
        <v>0.984</v>
      </c>
      <c r="H7" s="3">
        <v>8356065</v>
      </c>
      <c r="I7" s="16">
        <f>D7-H7</f>
        <v>0</v>
      </c>
    </row>
    <row r="8" spans="1:8" ht="31.5" customHeight="1">
      <c r="A8" s="40" t="s">
        <v>1</v>
      </c>
      <c r="B8" s="102" t="s">
        <v>166</v>
      </c>
      <c r="C8" s="111">
        <v>996000</v>
      </c>
      <c r="D8" s="36">
        <f>H8</f>
        <v>974600</v>
      </c>
      <c r="E8" s="89">
        <f aca="true" t="shared" si="0" ref="E8:E29">IF(C8=D8,"-",D8-C8)</f>
        <v>-21400</v>
      </c>
      <c r="F8" s="90">
        <f aca="true" t="shared" si="1" ref="F8:F46">IF(C8=0,"-",D8/C8)</f>
        <v>0.9785</v>
      </c>
      <c r="H8" s="2">
        <v>974600</v>
      </c>
    </row>
    <row r="9" spans="1:8" ht="31.5" customHeight="1">
      <c r="A9" s="40" t="s">
        <v>2</v>
      </c>
      <c r="B9" s="102" t="s">
        <v>167</v>
      </c>
      <c r="C9" s="111">
        <v>673600</v>
      </c>
      <c r="D9" s="36">
        <f>ROUND(H9-('[6]REZERWA NA MIGRACJĘ'!$C$14-'[7]REZERWA NA MIGRACJĘ'!$C$14),0)</f>
        <v>647374</v>
      </c>
      <c r="E9" s="89">
        <f t="shared" si="0"/>
        <v>-26226</v>
      </c>
      <c r="F9" s="90">
        <f t="shared" si="1"/>
        <v>0.9611</v>
      </c>
      <c r="H9" s="2">
        <v>647804</v>
      </c>
    </row>
    <row r="10" spans="1:8" ht="31.5" customHeight="1">
      <c r="A10" s="40" t="s">
        <v>3</v>
      </c>
      <c r="B10" s="102" t="s">
        <v>158</v>
      </c>
      <c r="C10" s="111">
        <v>4048802</v>
      </c>
      <c r="D10" s="36">
        <f>ROUND(H10-('[6]REZERWA NA MIGRACJĘ'!$D$14-'[7]REZERWA NA MIGRACJĘ'!$D$14),0)+1</f>
        <v>4005783</v>
      </c>
      <c r="E10" s="89">
        <f t="shared" si="0"/>
        <v>-43019</v>
      </c>
      <c r="F10" s="90">
        <f t="shared" si="1"/>
        <v>0.9894</v>
      </c>
      <c r="H10" s="2">
        <v>4009864</v>
      </c>
    </row>
    <row r="11" spans="1:8" ht="31.5" customHeight="1">
      <c r="A11" s="103" t="s">
        <v>64</v>
      </c>
      <c r="B11" s="45" t="s">
        <v>65</v>
      </c>
      <c r="C11" s="111">
        <v>342048</v>
      </c>
      <c r="D11" s="36">
        <f>ROUND(H11-('[6]REZERWA NA MIGRACJĘ'!$E$14-'[7]REZERWA NA MIGRACJĘ'!$E$14),0)</f>
        <v>312596</v>
      </c>
      <c r="E11" s="89">
        <f t="shared" si="0"/>
        <v>-29452</v>
      </c>
      <c r="F11" s="90">
        <f t="shared" si="1"/>
        <v>0.9139</v>
      </c>
      <c r="H11" s="2">
        <v>312642</v>
      </c>
    </row>
    <row r="12" spans="1:8" ht="31.5" customHeight="1">
      <c r="A12" s="40" t="s">
        <v>4</v>
      </c>
      <c r="B12" s="102" t="s">
        <v>173</v>
      </c>
      <c r="C12" s="111">
        <v>324037</v>
      </c>
      <c r="D12" s="36">
        <f>ROUND(H12-('[6]REZERWA NA MIGRACJĘ'!$F$14-'[7]REZERWA NA MIGRACJĘ'!$F$14),0)</f>
        <v>304442</v>
      </c>
      <c r="E12" s="89">
        <f t="shared" si="0"/>
        <v>-19595</v>
      </c>
      <c r="F12" s="90">
        <f t="shared" si="1"/>
        <v>0.9395</v>
      </c>
      <c r="H12" s="2">
        <v>305359</v>
      </c>
    </row>
    <row r="13" spans="1:8" ht="31.5" customHeight="1">
      <c r="A13" s="40" t="s">
        <v>5</v>
      </c>
      <c r="B13" s="102" t="s">
        <v>168</v>
      </c>
      <c r="C13" s="111">
        <v>334932</v>
      </c>
      <c r="D13" s="36">
        <f>ROUND(H13-('[6]REZERWA NA MIGRACJĘ'!$G$14-'[7]REZERWA NA MIGRACJĘ'!$G$14),0)</f>
        <v>329759</v>
      </c>
      <c r="E13" s="89">
        <f t="shared" si="0"/>
        <v>-5173</v>
      </c>
      <c r="F13" s="90">
        <f t="shared" si="1"/>
        <v>0.9846</v>
      </c>
      <c r="H13" s="2">
        <v>330165</v>
      </c>
    </row>
    <row r="14" spans="1:8" ht="31.5" customHeight="1">
      <c r="A14" s="40" t="s">
        <v>6</v>
      </c>
      <c r="B14" s="102" t="s">
        <v>177</v>
      </c>
      <c r="C14" s="111">
        <v>113461</v>
      </c>
      <c r="D14" s="36">
        <f>ROUND(H14-('[6]REZERWA NA MIGRACJĘ'!$H$14-'[7]REZERWA NA MIGRACJĘ'!$H$14),0)</f>
        <v>128359</v>
      </c>
      <c r="E14" s="89">
        <f t="shared" si="0"/>
        <v>14898</v>
      </c>
      <c r="F14" s="90">
        <f t="shared" si="1"/>
        <v>1.1313</v>
      </c>
      <c r="H14" s="2">
        <v>128576</v>
      </c>
    </row>
    <row r="15" spans="1:8" ht="31.5" customHeight="1">
      <c r="A15" s="40" t="s">
        <v>7</v>
      </c>
      <c r="B15" s="102" t="s">
        <v>176</v>
      </c>
      <c r="C15" s="111">
        <v>37800</v>
      </c>
      <c r="D15" s="36">
        <f>ROUND(H15-('[6]REZERWA NA MIGRACJĘ'!$I$14-'[7]REZERWA NA MIGRACJĘ'!$I$14),0)</f>
        <v>36752</v>
      </c>
      <c r="E15" s="89">
        <f>IF(C15=D15,"-",D15-C15)</f>
        <v>-1048</v>
      </c>
      <c r="F15" s="90">
        <f>IF(C15=0,"-",D15/C15)</f>
        <v>0.9723</v>
      </c>
      <c r="H15" s="2">
        <v>36781</v>
      </c>
    </row>
    <row r="16" spans="1:8" ht="31.5" customHeight="1">
      <c r="A16" s="40" t="s">
        <v>8</v>
      </c>
      <c r="B16" s="102" t="s">
        <v>169</v>
      </c>
      <c r="C16" s="111">
        <v>234022</v>
      </c>
      <c r="D16" s="36">
        <f>ROUND(H16-('[6]REZERWA NA MIGRACJĘ'!$J14-'[7]REZERWA NA MIGRACJĘ'!$J$14),0)</f>
        <v>225173</v>
      </c>
      <c r="E16" s="89">
        <f t="shared" si="0"/>
        <v>-8849</v>
      </c>
      <c r="F16" s="90">
        <f t="shared" si="1"/>
        <v>0.9622</v>
      </c>
      <c r="H16" s="2">
        <v>225231</v>
      </c>
    </row>
    <row r="17" spans="1:8" ht="31.5" customHeight="1">
      <c r="A17" s="40" t="s">
        <v>9</v>
      </c>
      <c r="B17" s="102" t="s">
        <v>170</v>
      </c>
      <c r="C17" s="111">
        <v>106731</v>
      </c>
      <c r="D17" s="36">
        <f>ROUND(H17,0)</f>
        <v>85731</v>
      </c>
      <c r="E17" s="89">
        <f t="shared" si="0"/>
        <v>-21000</v>
      </c>
      <c r="F17" s="90">
        <f t="shared" si="1"/>
        <v>0.8032</v>
      </c>
      <c r="H17" s="2">
        <v>85731</v>
      </c>
    </row>
    <row r="18" spans="1:8" ht="31.5" customHeight="1">
      <c r="A18" s="40" t="s">
        <v>10</v>
      </c>
      <c r="B18" s="102" t="s">
        <v>178</v>
      </c>
      <c r="C18" s="111">
        <v>5439</v>
      </c>
      <c r="D18" s="36">
        <f>ROUND(H18,0)</f>
        <v>5439</v>
      </c>
      <c r="E18" s="89" t="str">
        <f t="shared" si="0"/>
        <v>-</v>
      </c>
      <c r="F18" s="90">
        <f t="shared" si="1"/>
        <v>1</v>
      </c>
      <c r="H18" s="2">
        <v>5439</v>
      </c>
    </row>
    <row r="19" spans="1:8" ht="46.5" customHeight="1">
      <c r="A19" s="40" t="s">
        <v>11</v>
      </c>
      <c r="B19" s="102" t="s">
        <v>171</v>
      </c>
      <c r="C19" s="111">
        <v>15050</v>
      </c>
      <c r="D19" s="36">
        <f>ROUND(H19-('[6]REZERWA NA MIGRACJĘ'!$K$14-'[7]REZERWA NA MIGRACJĘ'!$K$14),0)</f>
        <v>14463</v>
      </c>
      <c r="E19" s="89">
        <f t="shared" si="0"/>
        <v>-587</v>
      </c>
      <c r="F19" s="90">
        <f t="shared" si="1"/>
        <v>0.961</v>
      </c>
      <c r="H19" s="2">
        <v>14485</v>
      </c>
    </row>
    <row r="20" spans="1:8" ht="31.5" customHeight="1">
      <c r="A20" s="40" t="s">
        <v>12</v>
      </c>
      <c r="B20" s="102" t="s">
        <v>172</v>
      </c>
      <c r="C20" s="111">
        <v>198489</v>
      </c>
      <c r="D20" s="36">
        <f>ROUND(H20-('[6]REZERWA NA MIGRACJĘ'!$L$14-'[7]REZERWA NA MIGRACJĘ'!$L$14),0)</f>
        <v>206004</v>
      </c>
      <c r="E20" s="89">
        <f t="shared" si="0"/>
        <v>7515</v>
      </c>
      <c r="F20" s="90">
        <f t="shared" si="1"/>
        <v>1.0379</v>
      </c>
      <c r="H20" s="2">
        <v>206023</v>
      </c>
    </row>
    <row r="21" spans="1:8" ht="31.5" customHeight="1">
      <c r="A21" s="40" t="s">
        <v>14</v>
      </c>
      <c r="B21" s="46" t="s">
        <v>13</v>
      </c>
      <c r="C21" s="111">
        <v>73530</v>
      </c>
      <c r="D21" s="36">
        <f>H21</f>
        <v>73530</v>
      </c>
      <c r="E21" s="89" t="str">
        <f t="shared" si="0"/>
        <v>-</v>
      </c>
      <c r="F21" s="90">
        <f t="shared" si="1"/>
        <v>1</v>
      </c>
      <c r="H21" s="2">
        <v>73530</v>
      </c>
    </row>
    <row r="22" spans="1:8" ht="31.5" customHeight="1">
      <c r="A22" s="41" t="s">
        <v>15</v>
      </c>
      <c r="B22" s="102" t="s">
        <v>174</v>
      </c>
      <c r="C22" s="111">
        <v>1148163</v>
      </c>
      <c r="D22" s="36">
        <f>H22</f>
        <v>1106144</v>
      </c>
      <c r="E22" s="89">
        <f t="shared" si="0"/>
        <v>-42019</v>
      </c>
      <c r="F22" s="90">
        <f t="shared" si="1"/>
        <v>0.9634</v>
      </c>
      <c r="H22" s="2">
        <v>1106144</v>
      </c>
    </row>
    <row r="23" spans="1:8" ht="31.5" customHeight="1">
      <c r="A23" s="39" t="s">
        <v>179</v>
      </c>
      <c r="B23" s="45" t="s">
        <v>66</v>
      </c>
      <c r="C23" s="111">
        <v>4641</v>
      </c>
      <c r="D23" s="36">
        <f>H23</f>
        <v>4242</v>
      </c>
      <c r="E23" s="89">
        <f t="shared" si="0"/>
        <v>-399</v>
      </c>
      <c r="F23" s="90">
        <f t="shared" si="1"/>
        <v>0.914</v>
      </c>
      <c r="H23" s="2">
        <v>4242</v>
      </c>
    </row>
    <row r="24" spans="1:8" ht="33" customHeight="1">
      <c r="A24" s="42" t="s">
        <v>16</v>
      </c>
      <c r="B24" s="47" t="s">
        <v>140</v>
      </c>
      <c r="C24" s="111">
        <v>0</v>
      </c>
      <c r="D24" s="36">
        <f>H24</f>
        <v>0</v>
      </c>
      <c r="E24" s="89" t="str">
        <f>IF(C24=D24,"-",D24-C24)</f>
        <v>-</v>
      </c>
      <c r="F24" s="90" t="str">
        <f>IF(C24=0,"-",D24/C24)</f>
        <v>-</v>
      </c>
      <c r="H24" s="2">
        <v>0</v>
      </c>
    </row>
    <row r="25" spans="1:8" ht="33" customHeight="1">
      <c r="A25" s="42" t="s">
        <v>137</v>
      </c>
      <c r="B25" s="48" t="s">
        <v>60</v>
      </c>
      <c r="C25" s="111">
        <v>0</v>
      </c>
      <c r="D25" s="36">
        <f>H25</f>
        <v>0</v>
      </c>
      <c r="E25" s="89" t="str">
        <f>IF(C25=D25,"-",D25-C25)</f>
        <v>-</v>
      </c>
      <c r="F25" s="90" t="str">
        <f>IF(C25=0,"-",D25/C25)</f>
        <v>-</v>
      </c>
      <c r="H25" s="2">
        <v>0</v>
      </c>
    </row>
    <row r="26" spans="1:8" ht="33" customHeight="1">
      <c r="A26" s="42" t="s">
        <v>138</v>
      </c>
      <c r="B26" s="48" t="s">
        <v>141</v>
      </c>
      <c r="C26" s="111">
        <v>166931</v>
      </c>
      <c r="D26" s="36">
        <f>ROUND('[6]REZERWA NA MIGRACJĘ'!$B$14,0)</f>
        <v>207811</v>
      </c>
      <c r="E26" s="89">
        <f>IF(C26=D26,"-",D26-C26)</f>
        <v>40880</v>
      </c>
      <c r="F26" s="90">
        <f>IF(C26=0,"-",D26/C26)</f>
        <v>1.2449</v>
      </c>
      <c r="H26" s="2">
        <v>201333</v>
      </c>
    </row>
    <row r="27" spans="1:8" ht="33" customHeight="1">
      <c r="A27" s="42" t="s">
        <v>139</v>
      </c>
      <c r="B27" s="48" t="s">
        <v>142</v>
      </c>
      <c r="C27" s="111">
        <v>15000</v>
      </c>
      <c r="D27" s="36">
        <f>ROUND(H27-('[6]REZERWA NA MIGRACJĘ'!$M$14-'[7]REZERWA NA MIGRACJĘ'!$M$14),0)</f>
        <v>4701</v>
      </c>
      <c r="E27" s="89">
        <f>IF(C27=D27,"-",D27-C27)</f>
        <v>-10299</v>
      </c>
      <c r="F27" s="90">
        <f>IF(C27=0,"-",D27/C27)</f>
        <v>0.3134</v>
      </c>
      <c r="H27" s="2">
        <v>5000</v>
      </c>
    </row>
    <row r="28" spans="1:6" s="5" customFormat="1" ht="31.5" customHeight="1">
      <c r="A28" s="43" t="s">
        <v>68</v>
      </c>
      <c r="B28" s="49" t="s">
        <v>69</v>
      </c>
      <c r="C28" s="112">
        <v>0</v>
      </c>
      <c r="D28" s="119">
        <f>C28</f>
        <v>0</v>
      </c>
      <c r="E28" s="15" t="str">
        <f t="shared" si="0"/>
        <v>-</v>
      </c>
      <c r="F28" s="120" t="str">
        <f t="shared" si="1"/>
        <v>-</v>
      </c>
    </row>
    <row r="29" spans="1:6" s="5" customFormat="1" ht="31.5" customHeight="1">
      <c r="A29" s="43" t="s">
        <v>67</v>
      </c>
      <c r="B29" s="49" t="s">
        <v>70</v>
      </c>
      <c r="C29" s="112">
        <v>218216</v>
      </c>
      <c r="D29" s="119">
        <f>C29</f>
        <v>218216</v>
      </c>
      <c r="E29" s="15" t="str">
        <f t="shared" si="0"/>
        <v>-</v>
      </c>
      <c r="F29" s="120">
        <f t="shared" si="1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65988</v>
      </c>
      <c r="D30" s="34">
        <f>D31+D32+D33+D41+D42+D48+D49+D50+D47</f>
        <v>65988</v>
      </c>
      <c r="E30" s="13" t="str">
        <f>IF(C30=D30,"-",D30-C30)</f>
        <v>-</v>
      </c>
      <c r="F30" s="91">
        <f t="shared" si="1"/>
        <v>1</v>
      </c>
    </row>
    <row r="31" spans="1:6" ht="28.5" customHeight="1">
      <c r="A31" s="42" t="s">
        <v>19</v>
      </c>
      <c r="B31" s="51" t="s">
        <v>20</v>
      </c>
      <c r="C31" s="94">
        <v>1945</v>
      </c>
      <c r="D31" s="35">
        <f>C31</f>
        <v>1945</v>
      </c>
      <c r="E31" s="89" t="str">
        <f aca="true" t="shared" si="2" ref="E31:E51">IF(C31=D31,"-",D31-C31)</f>
        <v>-</v>
      </c>
      <c r="F31" s="90">
        <f t="shared" si="1"/>
        <v>1</v>
      </c>
    </row>
    <row r="32" spans="1:6" ht="28.5" customHeight="1">
      <c r="A32" s="42" t="s">
        <v>21</v>
      </c>
      <c r="B32" s="51" t="s">
        <v>22</v>
      </c>
      <c r="C32" s="94">
        <v>10985</v>
      </c>
      <c r="D32" s="35">
        <f>C32</f>
        <v>10985</v>
      </c>
      <c r="E32" s="89" t="str">
        <f t="shared" si="2"/>
        <v>-</v>
      </c>
      <c r="F32" s="90">
        <f t="shared" si="1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397</v>
      </c>
      <c r="D33" s="35">
        <f>D34+D36+D37+D38+D39+D40</f>
        <v>397</v>
      </c>
      <c r="E33" s="89" t="str">
        <f t="shared" si="2"/>
        <v>-</v>
      </c>
      <c r="F33" s="90">
        <f t="shared" si="1"/>
        <v>1</v>
      </c>
    </row>
    <row r="34" spans="1:6" ht="28.5" customHeight="1">
      <c r="A34" s="53" t="s">
        <v>45</v>
      </c>
      <c r="B34" s="54" t="s">
        <v>38</v>
      </c>
      <c r="C34" s="94">
        <v>24</v>
      </c>
      <c r="D34" s="35">
        <f>C34</f>
        <v>24</v>
      </c>
      <c r="E34" s="89" t="str">
        <f t="shared" si="2"/>
        <v>-</v>
      </c>
      <c r="F34" s="90">
        <f t="shared" si="1"/>
        <v>1</v>
      </c>
    </row>
    <row r="35" spans="1:6" ht="28.5" customHeight="1">
      <c r="A35" s="53" t="s">
        <v>46</v>
      </c>
      <c r="B35" s="55" t="s">
        <v>39</v>
      </c>
      <c r="C35" s="94">
        <v>24</v>
      </c>
      <c r="D35" s="35">
        <f aca="true" t="shared" si="3" ref="D35:D47">C35</f>
        <v>24</v>
      </c>
      <c r="E35" s="89" t="str">
        <f t="shared" si="2"/>
        <v>-</v>
      </c>
      <c r="F35" s="90">
        <f t="shared" si="1"/>
        <v>1</v>
      </c>
    </row>
    <row r="36" spans="1:6" ht="28.5" customHeight="1">
      <c r="A36" s="53" t="s">
        <v>47</v>
      </c>
      <c r="B36" s="54" t="s">
        <v>40</v>
      </c>
      <c r="C36" s="94">
        <v>36</v>
      </c>
      <c r="D36" s="35">
        <f t="shared" si="3"/>
        <v>36</v>
      </c>
      <c r="E36" s="89" t="str">
        <f t="shared" si="2"/>
        <v>-</v>
      </c>
      <c r="F36" s="90">
        <f t="shared" si="1"/>
        <v>1</v>
      </c>
    </row>
    <row r="37" spans="1:6" ht="28.5" customHeight="1">
      <c r="A37" s="53" t="s">
        <v>48</v>
      </c>
      <c r="B37" s="54" t="s">
        <v>41</v>
      </c>
      <c r="C37" s="94">
        <v>0</v>
      </c>
      <c r="D37" s="35">
        <f t="shared" si="3"/>
        <v>0</v>
      </c>
      <c r="E37" s="89" t="str">
        <f t="shared" si="2"/>
        <v>-</v>
      </c>
      <c r="F37" s="90" t="str">
        <f t="shared" si="1"/>
        <v>-</v>
      </c>
    </row>
    <row r="38" spans="1:6" ht="28.5" customHeight="1">
      <c r="A38" s="53" t="s">
        <v>49</v>
      </c>
      <c r="B38" s="54" t="s">
        <v>42</v>
      </c>
      <c r="C38" s="94">
        <v>0</v>
      </c>
      <c r="D38" s="35">
        <f t="shared" si="3"/>
        <v>0</v>
      </c>
      <c r="E38" s="89" t="str">
        <f t="shared" si="2"/>
        <v>-</v>
      </c>
      <c r="F38" s="90" t="str">
        <f t="shared" si="1"/>
        <v>-</v>
      </c>
    </row>
    <row r="39" spans="1:6" ht="28.5" customHeight="1">
      <c r="A39" s="53" t="s">
        <v>50</v>
      </c>
      <c r="B39" s="54" t="s">
        <v>43</v>
      </c>
      <c r="C39" s="94">
        <v>313</v>
      </c>
      <c r="D39" s="35">
        <f t="shared" si="3"/>
        <v>313</v>
      </c>
      <c r="E39" s="89" t="str">
        <f t="shared" si="2"/>
        <v>-</v>
      </c>
      <c r="F39" s="90">
        <f t="shared" si="1"/>
        <v>1</v>
      </c>
    </row>
    <row r="40" spans="1:6" ht="28.5" customHeight="1">
      <c r="A40" s="53" t="s">
        <v>51</v>
      </c>
      <c r="B40" s="54" t="s">
        <v>44</v>
      </c>
      <c r="C40" s="94">
        <v>24</v>
      </c>
      <c r="D40" s="35">
        <f t="shared" si="3"/>
        <v>24</v>
      </c>
      <c r="E40" s="89" t="str">
        <f t="shared" si="2"/>
        <v>-</v>
      </c>
      <c r="F40" s="90">
        <f t="shared" si="1"/>
        <v>1</v>
      </c>
    </row>
    <row r="41" spans="1:6" ht="28.5" customHeight="1">
      <c r="A41" s="42" t="s">
        <v>24</v>
      </c>
      <c r="B41" s="51" t="s">
        <v>25</v>
      </c>
      <c r="C41" s="35">
        <v>38918</v>
      </c>
      <c r="D41" s="35">
        <f t="shared" si="3"/>
        <v>38918</v>
      </c>
      <c r="E41" s="89" t="str">
        <f t="shared" si="2"/>
        <v>-</v>
      </c>
      <c r="F41" s="90">
        <f t="shared" si="1"/>
        <v>1</v>
      </c>
    </row>
    <row r="42" spans="1:6" ht="28.5" customHeight="1">
      <c r="A42" s="42" t="s">
        <v>26</v>
      </c>
      <c r="B42" s="52" t="s">
        <v>61</v>
      </c>
      <c r="C42" s="110">
        <f>C43+C44+C45+C46</f>
        <v>7829</v>
      </c>
      <c r="D42" s="35">
        <f>SUM(D43:D46)</f>
        <v>7829</v>
      </c>
      <c r="E42" s="89" t="str">
        <f t="shared" si="2"/>
        <v>-</v>
      </c>
      <c r="F42" s="90">
        <f t="shared" si="1"/>
        <v>1</v>
      </c>
    </row>
    <row r="43" spans="1:6" ht="28.5" customHeight="1">
      <c r="A43" s="53" t="s">
        <v>56</v>
      </c>
      <c r="B43" s="54" t="s">
        <v>52</v>
      </c>
      <c r="C43" s="35">
        <v>5912</v>
      </c>
      <c r="D43" s="35">
        <f>C43</f>
        <v>5912</v>
      </c>
      <c r="E43" s="89" t="str">
        <f t="shared" si="2"/>
        <v>-</v>
      </c>
      <c r="F43" s="90">
        <f t="shared" si="1"/>
        <v>1</v>
      </c>
    </row>
    <row r="44" spans="1:6" ht="28.5" customHeight="1">
      <c r="A44" s="53" t="s">
        <v>57</v>
      </c>
      <c r="B44" s="54" t="s">
        <v>53</v>
      </c>
      <c r="C44" s="35">
        <v>953</v>
      </c>
      <c r="D44" s="35">
        <f>C44</f>
        <v>953</v>
      </c>
      <c r="E44" s="89" t="str">
        <f t="shared" si="2"/>
        <v>-</v>
      </c>
      <c r="F44" s="90">
        <f t="shared" si="1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3"/>
        <v>0</v>
      </c>
      <c r="E45" s="89" t="str">
        <f t="shared" si="2"/>
        <v>-</v>
      </c>
      <c r="F45" s="90" t="str">
        <f t="shared" si="1"/>
        <v>-</v>
      </c>
    </row>
    <row r="46" spans="1:6" ht="28.5" customHeight="1">
      <c r="A46" s="53" t="s">
        <v>59</v>
      </c>
      <c r="B46" s="54" t="s">
        <v>55</v>
      </c>
      <c r="C46" s="35">
        <v>964</v>
      </c>
      <c r="D46" s="35">
        <f>C46</f>
        <v>964</v>
      </c>
      <c r="E46" s="89" t="str">
        <f t="shared" si="2"/>
        <v>-</v>
      </c>
      <c r="F46" s="90">
        <f t="shared" si="1"/>
        <v>1</v>
      </c>
    </row>
    <row r="47" spans="1:6" ht="28.5" customHeight="1">
      <c r="A47" s="42" t="s">
        <v>27</v>
      </c>
      <c r="B47" s="51" t="s">
        <v>28</v>
      </c>
      <c r="C47" s="94">
        <v>0</v>
      </c>
      <c r="D47" s="35">
        <f t="shared" si="3"/>
        <v>0</v>
      </c>
      <c r="E47" s="89" t="str">
        <f t="shared" si="2"/>
        <v>-</v>
      </c>
      <c r="F47" s="90" t="str">
        <f aca="true" t="shared" si="4" ref="F47:F55">IF(C47=0,"-",D47/C47)</f>
        <v>-</v>
      </c>
    </row>
    <row r="48" spans="1:6" ht="48" customHeight="1">
      <c r="A48" s="42" t="s">
        <v>29</v>
      </c>
      <c r="B48" s="51" t="s">
        <v>116</v>
      </c>
      <c r="C48" s="111">
        <v>5569</v>
      </c>
      <c r="D48" s="35">
        <f>C48</f>
        <v>5569</v>
      </c>
      <c r="E48" s="89" t="str">
        <f t="shared" si="2"/>
        <v>-</v>
      </c>
      <c r="F48" s="92">
        <f t="shared" si="4"/>
        <v>1</v>
      </c>
    </row>
    <row r="49" spans="1:6" ht="43.5" customHeight="1">
      <c r="A49" s="42" t="s">
        <v>30</v>
      </c>
      <c r="B49" s="51" t="s">
        <v>31</v>
      </c>
      <c r="C49" s="111">
        <v>87</v>
      </c>
      <c r="D49" s="35">
        <f>C49</f>
        <v>87</v>
      </c>
      <c r="E49" s="89" t="str">
        <f t="shared" si="2"/>
        <v>-</v>
      </c>
      <c r="F49" s="92">
        <f t="shared" si="4"/>
        <v>1</v>
      </c>
    </row>
    <row r="50" spans="1:6" ht="35.25" customHeight="1">
      <c r="A50" s="42" t="s">
        <v>32</v>
      </c>
      <c r="B50" s="51" t="s">
        <v>33</v>
      </c>
      <c r="C50" s="94">
        <v>258</v>
      </c>
      <c r="D50" s="35">
        <f>C50</f>
        <v>258</v>
      </c>
      <c r="E50" s="89" t="str">
        <f t="shared" si="2"/>
        <v>-</v>
      </c>
      <c r="F50" s="90">
        <f t="shared" si="4"/>
        <v>1</v>
      </c>
    </row>
    <row r="51" spans="1:6" s="3" customFormat="1" ht="30" customHeight="1">
      <c r="A51" s="44" t="s">
        <v>34</v>
      </c>
      <c r="B51" s="56" t="s">
        <v>175</v>
      </c>
      <c r="C51" s="38">
        <f>SUM(C52:C55)</f>
        <v>37504</v>
      </c>
      <c r="D51" s="38">
        <f>SUM(D52:D55)</f>
        <v>37504</v>
      </c>
      <c r="E51" s="13" t="str">
        <f t="shared" si="2"/>
        <v>-</v>
      </c>
      <c r="F51" s="93">
        <f t="shared" si="4"/>
        <v>1</v>
      </c>
    </row>
    <row r="52" spans="1:6" ht="42" customHeight="1">
      <c r="A52" s="42" t="s">
        <v>119</v>
      </c>
      <c r="B52" s="51" t="s">
        <v>144</v>
      </c>
      <c r="C52" s="94">
        <v>1609</v>
      </c>
      <c r="D52" s="35">
        <f>C52</f>
        <v>1609</v>
      </c>
      <c r="E52" s="94" t="str">
        <f>IF(C52=D52,"-",D52-C52)</f>
        <v>-</v>
      </c>
      <c r="F52" s="100">
        <f t="shared" si="4"/>
        <v>1</v>
      </c>
    </row>
    <row r="53" spans="1:6" ht="31.5" customHeight="1">
      <c r="A53" s="42" t="s">
        <v>35</v>
      </c>
      <c r="B53" s="51" t="s">
        <v>63</v>
      </c>
      <c r="C53" s="94">
        <v>33895</v>
      </c>
      <c r="D53" s="35">
        <f>C53</f>
        <v>33895</v>
      </c>
      <c r="E53" s="94" t="str">
        <f>IF(C53=D53,"-",D53-C53)</f>
        <v>-</v>
      </c>
      <c r="F53" s="100">
        <f t="shared" si="4"/>
        <v>1</v>
      </c>
    </row>
    <row r="54" spans="1:6" ht="31.5" customHeight="1">
      <c r="A54" s="42" t="s">
        <v>36</v>
      </c>
      <c r="B54" s="51" t="s">
        <v>121</v>
      </c>
      <c r="C54" s="94">
        <v>0</v>
      </c>
      <c r="D54" s="35">
        <f>C54</f>
        <v>0</v>
      </c>
      <c r="E54" s="94" t="str">
        <f>IF(C54=D54,"-",D54-C54)</f>
        <v>-</v>
      </c>
      <c r="F54" s="100" t="str">
        <f t="shared" si="4"/>
        <v>-</v>
      </c>
    </row>
    <row r="55" spans="1:6" ht="31.5" customHeight="1">
      <c r="A55" s="42" t="s">
        <v>120</v>
      </c>
      <c r="B55" s="51" t="s">
        <v>122</v>
      </c>
      <c r="C55" s="94">
        <v>2000</v>
      </c>
      <c r="D55" s="35">
        <f>C55</f>
        <v>2000</v>
      </c>
      <c r="E55" s="94" t="str">
        <f>IF(C55=D55,"-",D55-C55)</f>
        <v>-</v>
      </c>
      <c r="F55" s="100">
        <f t="shared" si="4"/>
        <v>1</v>
      </c>
    </row>
    <row r="56" spans="1:6" ht="32.25" customHeight="1">
      <c r="A56" s="44" t="s">
        <v>127</v>
      </c>
      <c r="B56" s="56" t="s">
        <v>155</v>
      </c>
      <c r="C56" s="113">
        <v>10500</v>
      </c>
      <c r="D56" s="38">
        <f>C56</f>
        <v>10500</v>
      </c>
      <c r="E56" s="13" t="str">
        <f>IF(C56=D56,"-",D56-C56)</f>
        <v>-</v>
      </c>
      <c r="F56" s="93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G1" sqref="G1:AA16384"/>
      <selection pane="topRight" activeCell="G1" sqref="G1:AA16384"/>
      <selection pane="bottomLeft" activeCell="G1" sqref="G1:AA16384"/>
      <selection pane="bottomRight" activeCell="G1" sqref="G1:AA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8" width="0" style="2" hidden="1" customWidth="1"/>
    <col min="9" max="9" width="15.125" style="2" hidden="1" customWidth="1"/>
    <col min="10" max="27" width="0" style="2" hidden="1" customWidth="1"/>
    <col min="28" max="16384" width="9.125" style="2" customWidth="1"/>
  </cols>
  <sheetData>
    <row r="1" spans="1:6" s="59" customFormat="1" ht="38.25" customHeight="1">
      <c r="A1" s="129" t="str">
        <f>NFZ!A1</f>
        <v>ZMIANA PLANU FINANSOWEGO NARODOWEGO FUNDUSZU ZDROWIA NA 2010 ROK Z 16 GRUDNIA 2009 ROKU</v>
      </c>
      <c r="B1" s="129"/>
      <c r="C1" s="129"/>
      <c r="D1" s="129"/>
      <c r="E1" s="129"/>
      <c r="F1" s="129"/>
    </row>
    <row r="2" spans="1:3" s="61" customFormat="1" ht="33" customHeight="1">
      <c r="A2" s="130" t="s">
        <v>78</v>
      </c>
      <c r="B2" s="130"/>
      <c r="C2" s="130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2" t="s">
        <v>165</v>
      </c>
      <c r="B4" s="131" t="s">
        <v>62</v>
      </c>
      <c r="C4" s="127" t="s">
        <v>202</v>
      </c>
      <c r="D4" s="124" t="s">
        <v>159</v>
      </c>
      <c r="E4" s="126" t="s">
        <v>164</v>
      </c>
      <c r="F4" s="126" t="s">
        <v>163</v>
      </c>
    </row>
    <row r="5" spans="1:6" s="6" customFormat="1" ht="33" customHeight="1">
      <c r="A5" s="131"/>
      <c r="B5" s="131"/>
      <c r="C5" s="128"/>
      <c r="D5" s="125"/>
      <c r="E5" s="126"/>
      <c r="F5" s="126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9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1353701</v>
      </c>
      <c r="D7" s="16">
        <f>D8+D9+D10+D12+D13+D14+D15+D16+D17+D18+D19+D20+D21+D22+D24+D25+D26+D27</f>
        <v>1342086</v>
      </c>
      <c r="E7" s="13">
        <f>IF(C7=D7,"-",D7-C7)</f>
        <v>-11615</v>
      </c>
      <c r="F7" s="88">
        <f>IF(C7=0,"-",D7/C7)</f>
        <v>0.991</v>
      </c>
      <c r="H7" s="3">
        <v>1342086</v>
      </c>
      <c r="I7" s="16">
        <f>D7-H7</f>
        <v>0</v>
      </c>
    </row>
    <row r="8" spans="1:8" ht="31.5" customHeight="1">
      <c r="A8" s="40" t="s">
        <v>1</v>
      </c>
      <c r="B8" s="102" t="s">
        <v>166</v>
      </c>
      <c r="C8" s="111">
        <v>138207</v>
      </c>
      <c r="D8" s="36">
        <f>H8</f>
        <v>174500</v>
      </c>
      <c r="E8" s="89">
        <f aca="true" t="shared" si="0" ref="E8:E29">IF(C8=D8,"-",D8-C8)</f>
        <v>36293</v>
      </c>
      <c r="F8" s="90">
        <f aca="true" t="shared" si="1" ref="F8:F46">IF(C8=0,"-",D8/C8)</f>
        <v>1.2626</v>
      </c>
      <c r="H8" s="2">
        <v>174500</v>
      </c>
    </row>
    <row r="9" spans="1:8" ht="31.5" customHeight="1">
      <c r="A9" s="40" t="s">
        <v>2</v>
      </c>
      <c r="B9" s="102" t="s">
        <v>167</v>
      </c>
      <c r="C9" s="111">
        <v>97000</v>
      </c>
      <c r="D9" s="36">
        <f>ROUND(H9-('[6]REZERWA NA MIGRACJĘ'!$C$15-'[7]REZERWA NA MIGRACJĘ'!$C$15),0)</f>
        <v>95354</v>
      </c>
      <c r="E9" s="89">
        <f t="shared" si="0"/>
        <v>-1646</v>
      </c>
      <c r="F9" s="90">
        <f t="shared" si="1"/>
        <v>0.983</v>
      </c>
      <c r="H9" s="2">
        <v>95450</v>
      </c>
    </row>
    <row r="10" spans="1:8" ht="31.5" customHeight="1">
      <c r="A10" s="40" t="s">
        <v>3</v>
      </c>
      <c r="B10" s="102" t="s">
        <v>158</v>
      </c>
      <c r="C10" s="111">
        <v>573685</v>
      </c>
      <c r="D10" s="36">
        <f>ROUND(H10-('[6]REZERWA NA MIGRACJĘ'!$D$15-'[7]REZERWA NA MIGRACJĘ'!$D$15),0)-1+16534</f>
        <v>537923</v>
      </c>
      <c r="E10" s="89">
        <f t="shared" si="0"/>
        <v>-35762</v>
      </c>
      <c r="F10" s="90">
        <f t="shared" si="1"/>
        <v>0.9377</v>
      </c>
      <c r="H10" s="2">
        <v>523410</v>
      </c>
    </row>
    <row r="11" spans="1:8" ht="31.5" customHeight="1">
      <c r="A11" s="103" t="s">
        <v>64</v>
      </c>
      <c r="B11" s="45" t="s">
        <v>65</v>
      </c>
      <c r="C11" s="111">
        <v>34000</v>
      </c>
      <c r="D11" s="36">
        <f>ROUND(H11-('[6]REZERWA NA MIGRACJĘ'!$E$15-'[7]REZERWA NA MIGRACJĘ'!$E$15),0)</f>
        <v>30967</v>
      </c>
      <c r="E11" s="89">
        <f t="shared" si="0"/>
        <v>-3033</v>
      </c>
      <c r="F11" s="90">
        <f t="shared" si="1"/>
        <v>0.9108</v>
      </c>
      <c r="H11" s="2">
        <v>31000</v>
      </c>
    </row>
    <row r="12" spans="1:8" ht="31.5" customHeight="1">
      <c r="A12" s="40" t="s">
        <v>4</v>
      </c>
      <c r="B12" s="102" t="s">
        <v>173</v>
      </c>
      <c r="C12" s="111">
        <v>46000</v>
      </c>
      <c r="D12" s="36">
        <f>ROUND(H12-('[6]REZERWA NA MIGRACJĘ'!$F$15-'[7]REZERWA NA MIGRACJĘ'!$F$15),0)</f>
        <v>42085</v>
      </c>
      <c r="E12" s="89">
        <f t="shared" si="0"/>
        <v>-3915</v>
      </c>
      <c r="F12" s="90">
        <f t="shared" si="1"/>
        <v>0.9149</v>
      </c>
      <c r="H12" s="2">
        <v>42095</v>
      </c>
    </row>
    <row r="13" spans="1:8" ht="31.5" customHeight="1">
      <c r="A13" s="40" t="s">
        <v>5</v>
      </c>
      <c r="B13" s="102" t="s">
        <v>168</v>
      </c>
      <c r="C13" s="111">
        <v>46000</v>
      </c>
      <c r="D13" s="36">
        <f>ROUND(H13-('[6]REZERWA NA MIGRACJĘ'!$G$15-'[7]REZERWA NA MIGRACJĘ'!$G$15),0)</f>
        <v>41673</v>
      </c>
      <c r="E13" s="89">
        <f t="shared" si="0"/>
        <v>-4327</v>
      </c>
      <c r="F13" s="90">
        <f t="shared" si="1"/>
        <v>0.9059</v>
      </c>
      <c r="H13" s="2">
        <v>41700</v>
      </c>
    </row>
    <row r="14" spans="1:8" ht="31.5" customHeight="1">
      <c r="A14" s="40" t="s">
        <v>6</v>
      </c>
      <c r="B14" s="102" t="s">
        <v>177</v>
      </c>
      <c r="C14" s="111">
        <v>47677</v>
      </c>
      <c r="D14" s="36">
        <f>ROUND(H14-('[6]REZERWA NA MIGRACJĘ'!$H$15-'[7]REZERWA NA MIGRACJĘ'!$H$15),0)</f>
        <v>39489</v>
      </c>
      <c r="E14" s="89">
        <f t="shared" si="0"/>
        <v>-8188</v>
      </c>
      <c r="F14" s="90">
        <f t="shared" si="1"/>
        <v>0.8283</v>
      </c>
      <c r="H14" s="2">
        <v>39550</v>
      </c>
    </row>
    <row r="15" spans="1:8" ht="31.5" customHeight="1">
      <c r="A15" s="40" t="s">
        <v>7</v>
      </c>
      <c r="B15" s="102" t="s">
        <v>176</v>
      </c>
      <c r="C15" s="111">
        <v>7823</v>
      </c>
      <c r="D15" s="36">
        <f>ROUND(H15-('[6]REZERWA NA MIGRACJĘ'!$I$15-'[7]REZERWA NA MIGRACJĘ'!$I$15),0)</f>
        <v>7570</v>
      </c>
      <c r="E15" s="89">
        <f>IF(C15=D15,"-",D15-C15)</f>
        <v>-253</v>
      </c>
      <c r="F15" s="90">
        <f>IF(C15=0,"-",D15/C15)</f>
        <v>0.9677</v>
      </c>
      <c r="H15" s="2">
        <v>7568</v>
      </c>
    </row>
    <row r="16" spans="1:8" ht="31.5" customHeight="1">
      <c r="A16" s="40" t="s">
        <v>8</v>
      </c>
      <c r="B16" s="102" t="s">
        <v>169</v>
      </c>
      <c r="C16" s="111">
        <v>45826</v>
      </c>
      <c r="D16" s="36">
        <f>ROUND(H16-('[6]REZERWA NA MIGRACJĘ'!$J15-'[7]REZERWA NA MIGRACJĘ'!$J$15),0)</f>
        <v>43302</v>
      </c>
      <c r="E16" s="89">
        <f t="shared" si="0"/>
        <v>-2524</v>
      </c>
      <c r="F16" s="90">
        <f t="shared" si="1"/>
        <v>0.9449</v>
      </c>
      <c r="H16" s="2">
        <v>43350</v>
      </c>
    </row>
    <row r="17" spans="1:8" ht="31.5" customHeight="1">
      <c r="A17" s="40" t="s">
        <v>9</v>
      </c>
      <c r="B17" s="102" t="s">
        <v>170</v>
      </c>
      <c r="C17" s="111">
        <v>17000</v>
      </c>
      <c r="D17" s="36">
        <f>ROUND(H17,0)</f>
        <v>14500</v>
      </c>
      <c r="E17" s="89">
        <f t="shared" si="0"/>
        <v>-2500</v>
      </c>
      <c r="F17" s="90">
        <f t="shared" si="1"/>
        <v>0.8529</v>
      </c>
      <c r="H17" s="2">
        <v>14500</v>
      </c>
    </row>
    <row r="18" spans="1:8" ht="31.5" customHeight="1">
      <c r="A18" s="40" t="s">
        <v>10</v>
      </c>
      <c r="B18" s="102" t="s">
        <v>178</v>
      </c>
      <c r="C18" s="111">
        <v>2000</v>
      </c>
      <c r="D18" s="36">
        <f>ROUND(H18,0)</f>
        <v>1300</v>
      </c>
      <c r="E18" s="89">
        <f t="shared" si="0"/>
        <v>-700</v>
      </c>
      <c r="F18" s="90">
        <f t="shared" si="1"/>
        <v>0.65</v>
      </c>
      <c r="H18" s="2">
        <v>1300</v>
      </c>
    </row>
    <row r="19" spans="1:8" ht="46.5" customHeight="1">
      <c r="A19" s="40" t="s">
        <v>11</v>
      </c>
      <c r="B19" s="102" t="s">
        <v>171</v>
      </c>
      <c r="C19" s="111">
        <v>4000</v>
      </c>
      <c r="D19" s="36">
        <f>ROUND(H19-('[6]REZERWA NA MIGRACJĘ'!$K$15-'[7]REZERWA NA MIGRACJĘ'!$K$15),0)</f>
        <v>3601</v>
      </c>
      <c r="E19" s="89">
        <f t="shared" si="0"/>
        <v>-399</v>
      </c>
      <c r="F19" s="90">
        <f t="shared" si="1"/>
        <v>0.9003</v>
      </c>
      <c r="H19" s="2">
        <v>3600</v>
      </c>
    </row>
    <row r="20" spans="1:8" ht="31.5" customHeight="1">
      <c r="A20" s="40" t="s">
        <v>12</v>
      </c>
      <c r="B20" s="102" t="s">
        <v>172</v>
      </c>
      <c r="C20" s="111">
        <v>29000</v>
      </c>
      <c r="D20" s="36">
        <f>ROUND(H20-('[6]REZERWA NA MIGRACJĘ'!$L$15-'[7]REZERWA NA MIGRACJĘ'!$L$15),0)</f>
        <v>29573</v>
      </c>
      <c r="E20" s="89">
        <f t="shared" si="0"/>
        <v>573</v>
      </c>
      <c r="F20" s="90">
        <f t="shared" si="1"/>
        <v>1.0198</v>
      </c>
      <c r="H20" s="2">
        <v>29925</v>
      </c>
    </row>
    <row r="21" spans="1:8" ht="31.5" customHeight="1">
      <c r="A21" s="40" t="s">
        <v>14</v>
      </c>
      <c r="B21" s="46" t="s">
        <v>13</v>
      </c>
      <c r="C21" s="111">
        <v>17500</v>
      </c>
      <c r="D21" s="36">
        <f>H21</f>
        <v>17500</v>
      </c>
      <c r="E21" s="89" t="str">
        <f t="shared" si="0"/>
        <v>-</v>
      </c>
      <c r="F21" s="90">
        <f t="shared" si="1"/>
        <v>1</v>
      </c>
      <c r="H21" s="2">
        <v>17500</v>
      </c>
    </row>
    <row r="22" spans="1:8" ht="31.5" customHeight="1">
      <c r="A22" s="41" t="s">
        <v>15</v>
      </c>
      <c r="B22" s="102" t="s">
        <v>174</v>
      </c>
      <c r="C22" s="111">
        <v>190370</v>
      </c>
      <c r="D22" s="36">
        <f>H22-16534</f>
        <v>179466</v>
      </c>
      <c r="E22" s="89">
        <f t="shared" si="0"/>
        <v>-10904</v>
      </c>
      <c r="F22" s="90">
        <f t="shared" si="1"/>
        <v>0.9427</v>
      </c>
      <c r="H22" s="2">
        <v>196000</v>
      </c>
    </row>
    <row r="23" spans="1:8" ht="31.5" customHeight="1">
      <c r="A23" s="39" t="s">
        <v>179</v>
      </c>
      <c r="B23" s="45" t="s">
        <v>66</v>
      </c>
      <c r="C23" s="111">
        <v>550</v>
      </c>
      <c r="D23" s="36">
        <f>H23</f>
        <v>650</v>
      </c>
      <c r="E23" s="89">
        <f t="shared" si="0"/>
        <v>100</v>
      </c>
      <c r="F23" s="90">
        <f t="shared" si="1"/>
        <v>1.1818</v>
      </c>
      <c r="H23" s="2">
        <v>650</v>
      </c>
    </row>
    <row r="24" spans="1:8" ht="33" customHeight="1">
      <c r="A24" s="42" t="s">
        <v>16</v>
      </c>
      <c r="B24" s="47" t="s">
        <v>140</v>
      </c>
      <c r="C24" s="111">
        <v>0</v>
      </c>
      <c r="D24" s="36">
        <f>H24</f>
        <v>0</v>
      </c>
      <c r="E24" s="89" t="str">
        <f>IF(C24=D24,"-",D24-C24)</f>
        <v>-</v>
      </c>
      <c r="F24" s="90" t="str">
        <f>IF(C24=0,"-",D24/C24)</f>
        <v>-</v>
      </c>
      <c r="H24" s="2">
        <v>0</v>
      </c>
    </row>
    <row r="25" spans="1:8" ht="33" customHeight="1">
      <c r="A25" s="42" t="s">
        <v>137</v>
      </c>
      <c r="B25" s="48" t="s">
        <v>60</v>
      </c>
      <c r="C25" s="111">
        <v>0</v>
      </c>
      <c r="D25" s="36">
        <f>H25</f>
        <v>0</v>
      </c>
      <c r="E25" s="89" t="str">
        <f>IF(C25=D25,"-",D25-C25)</f>
        <v>-</v>
      </c>
      <c r="F25" s="90" t="str">
        <f>IF(C25=0,"-",D25/C25)</f>
        <v>-</v>
      </c>
      <c r="H25" s="2">
        <v>0</v>
      </c>
    </row>
    <row r="26" spans="1:8" ht="33" customHeight="1">
      <c r="A26" s="42" t="s">
        <v>138</v>
      </c>
      <c r="B26" s="48" t="s">
        <v>141</v>
      </c>
      <c r="C26" s="111">
        <v>90813</v>
      </c>
      <c r="D26" s="36">
        <f>ROUND('[6]REZERWA NA MIGRACJĘ'!$B$15,0)</f>
        <v>113769</v>
      </c>
      <c r="E26" s="89">
        <f>IF(C26=D26,"-",D26-C26)</f>
        <v>22956</v>
      </c>
      <c r="F26" s="90">
        <f>IF(C26=0,"-",D26/C26)</f>
        <v>1.2528</v>
      </c>
      <c r="H26" s="2">
        <v>110838</v>
      </c>
    </row>
    <row r="27" spans="1:8" ht="33" customHeight="1">
      <c r="A27" s="42" t="s">
        <v>139</v>
      </c>
      <c r="B27" s="48" t="s">
        <v>142</v>
      </c>
      <c r="C27" s="111">
        <v>800</v>
      </c>
      <c r="D27" s="36">
        <f>ROUND(H27-('[6]REZERWA NA MIGRACJĘ'!$M$15-'[7]REZERWA NA MIGRACJĘ'!$M$15),0)</f>
        <v>481</v>
      </c>
      <c r="E27" s="89">
        <f>IF(C27=D27,"-",D27-C27)</f>
        <v>-319</v>
      </c>
      <c r="F27" s="90">
        <f>IF(C27=0,"-",D27/C27)</f>
        <v>0.6013</v>
      </c>
      <c r="H27" s="2">
        <v>800</v>
      </c>
    </row>
    <row r="28" spans="1:6" s="5" customFormat="1" ht="31.5" customHeight="1">
      <c r="A28" s="43" t="s">
        <v>68</v>
      </c>
      <c r="B28" s="49" t="s">
        <v>69</v>
      </c>
      <c r="C28" s="112">
        <v>0</v>
      </c>
      <c r="D28" s="119">
        <f>C28</f>
        <v>0</v>
      </c>
      <c r="E28" s="15" t="str">
        <f t="shared" si="0"/>
        <v>-</v>
      </c>
      <c r="F28" s="120" t="str">
        <f t="shared" si="1"/>
        <v>-</v>
      </c>
    </row>
    <row r="29" spans="1:6" s="5" customFormat="1" ht="31.5" customHeight="1">
      <c r="A29" s="43" t="s">
        <v>67</v>
      </c>
      <c r="B29" s="49" t="s">
        <v>70</v>
      </c>
      <c r="C29" s="112">
        <v>49146</v>
      </c>
      <c r="D29" s="119">
        <f>C29</f>
        <v>49146</v>
      </c>
      <c r="E29" s="15" t="str">
        <f t="shared" si="0"/>
        <v>-</v>
      </c>
      <c r="F29" s="120">
        <f t="shared" si="1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14093</v>
      </c>
      <c r="D30" s="34">
        <f>D31+D32+D33+D41+D42+D48+D49+D50+D47</f>
        <v>14093</v>
      </c>
      <c r="E30" s="13" t="str">
        <f>IF(C30=D30,"-",D30-C30)</f>
        <v>-</v>
      </c>
      <c r="F30" s="91">
        <f t="shared" si="1"/>
        <v>1</v>
      </c>
    </row>
    <row r="31" spans="1:6" ht="28.5" customHeight="1">
      <c r="A31" s="42" t="s">
        <v>19</v>
      </c>
      <c r="B31" s="51" t="s">
        <v>20</v>
      </c>
      <c r="C31" s="94">
        <v>739</v>
      </c>
      <c r="D31" s="35">
        <f>C31</f>
        <v>739</v>
      </c>
      <c r="E31" s="89" t="str">
        <f aca="true" t="shared" si="2" ref="E31:E51">IF(C31=D31,"-",D31-C31)</f>
        <v>-</v>
      </c>
      <c r="F31" s="90">
        <f t="shared" si="1"/>
        <v>1</v>
      </c>
    </row>
    <row r="32" spans="1:6" ht="28.5" customHeight="1">
      <c r="A32" s="42" t="s">
        <v>21</v>
      </c>
      <c r="B32" s="51" t="s">
        <v>22</v>
      </c>
      <c r="C32" s="94">
        <v>1370</v>
      </c>
      <c r="D32" s="35">
        <f>C32</f>
        <v>1370</v>
      </c>
      <c r="E32" s="89" t="str">
        <f t="shared" si="2"/>
        <v>-</v>
      </c>
      <c r="F32" s="90">
        <f t="shared" si="1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102</v>
      </c>
      <c r="D33" s="35">
        <f>D34+D36+D37+D38+D39+D40</f>
        <v>102</v>
      </c>
      <c r="E33" s="89" t="str">
        <f t="shared" si="2"/>
        <v>-</v>
      </c>
      <c r="F33" s="90">
        <f t="shared" si="1"/>
        <v>1</v>
      </c>
    </row>
    <row r="34" spans="1:6" ht="28.5" customHeight="1">
      <c r="A34" s="53" t="s">
        <v>45</v>
      </c>
      <c r="B34" s="54" t="s">
        <v>38</v>
      </c>
      <c r="C34" s="94">
        <v>0</v>
      </c>
      <c r="D34" s="35">
        <f>C34</f>
        <v>0</v>
      </c>
      <c r="E34" s="89" t="str">
        <f t="shared" si="2"/>
        <v>-</v>
      </c>
      <c r="F34" s="90" t="str">
        <f t="shared" si="1"/>
        <v>-</v>
      </c>
    </row>
    <row r="35" spans="1:6" ht="28.5" customHeight="1">
      <c r="A35" s="53" t="s">
        <v>46</v>
      </c>
      <c r="B35" s="55" t="s">
        <v>39</v>
      </c>
      <c r="C35" s="94">
        <v>0</v>
      </c>
      <c r="D35" s="35">
        <f aca="true" t="shared" si="3" ref="D35:D49">C35</f>
        <v>0</v>
      </c>
      <c r="E35" s="89" t="str">
        <f t="shared" si="2"/>
        <v>-</v>
      </c>
      <c r="F35" s="90" t="str">
        <f t="shared" si="1"/>
        <v>-</v>
      </c>
    </row>
    <row r="36" spans="1:6" ht="28.5" customHeight="1">
      <c r="A36" s="53" t="s">
        <v>47</v>
      </c>
      <c r="B36" s="54" t="s">
        <v>40</v>
      </c>
      <c r="C36" s="94">
        <v>0</v>
      </c>
      <c r="D36" s="35">
        <f t="shared" si="3"/>
        <v>0</v>
      </c>
      <c r="E36" s="89" t="str">
        <f t="shared" si="2"/>
        <v>-</v>
      </c>
      <c r="F36" s="90" t="str">
        <f t="shared" si="1"/>
        <v>-</v>
      </c>
    </row>
    <row r="37" spans="1:6" ht="28.5" customHeight="1">
      <c r="A37" s="53" t="s">
        <v>48</v>
      </c>
      <c r="B37" s="54" t="s">
        <v>41</v>
      </c>
      <c r="C37" s="94">
        <v>0</v>
      </c>
      <c r="D37" s="35">
        <f t="shared" si="3"/>
        <v>0</v>
      </c>
      <c r="E37" s="89" t="str">
        <f t="shared" si="2"/>
        <v>-</v>
      </c>
      <c r="F37" s="90" t="str">
        <f t="shared" si="1"/>
        <v>-</v>
      </c>
    </row>
    <row r="38" spans="1:6" ht="28.5" customHeight="1">
      <c r="A38" s="53" t="s">
        <v>49</v>
      </c>
      <c r="B38" s="54" t="s">
        <v>42</v>
      </c>
      <c r="C38" s="94">
        <v>0</v>
      </c>
      <c r="D38" s="35">
        <f t="shared" si="3"/>
        <v>0</v>
      </c>
      <c r="E38" s="89" t="str">
        <f t="shared" si="2"/>
        <v>-</v>
      </c>
      <c r="F38" s="90" t="str">
        <f t="shared" si="1"/>
        <v>-</v>
      </c>
    </row>
    <row r="39" spans="1:6" ht="28.5" customHeight="1">
      <c r="A39" s="53" t="s">
        <v>50</v>
      </c>
      <c r="B39" s="54" t="s">
        <v>43</v>
      </c>
      <c r="C39" s="94">
        <v>100</v>
      </c>
      <c r="D39" s="35">
        <f t="shared" si="3"/>
        <v>100</v>
      </c>
      <c r="E39" s="89" t="str">
        <f t="shared" si="2"/>
        <v>-</v>
      </c>
      <c r="F39" s="90">
        <f t="shared" si="1"/>
        <v>1</v>
      </c>
    </row>
    <row r="40" spans="1:6" ht="28.5" customHeight="1">
      <c r="A40" s="53" t="s">
        <v>51</v>
      </c>
      <c r="B40" s="54" t="s">
        <v>44</v>
      </c>
      <c r="C40" s="94">
        <v>2</v>
      </c>
      <c r="D40" s="35">
        <f t="shared" si="3"/>
        <v>2</v>
      </c>
      <c r="E40" s="89" t="str">
        <f t="shared" si="2"/>
        <v>-</v>
      </c>
      <c r="F40" s="90">
        <f t="shared" si="1"/>
        <v>1</v>
      </c>
    </row>
    <row r="41" spans="1:6" ht="28.5" customHeight="1">
      <c r="A41" s="42" t="s">
        <v>24</v>
      </c>
      <c r="B41" s="51" t="s">
        <v>25</v>
      </c>
      <c r="C41" s="35">
        <v>8128</v>
      </c>
      <c r="D41" s="35">
        <f t="shared" si="3"/>
        <v>8128</v>
      </c>
      <c r="E41" s="89" t="str">
        <f t="shared" si="2"/>
        <v>-</v>
      </c>
      <c r="F41" s="90">
        <f t="shared" si="1"/>
        <v>1</v>
      </c>
    </row>
    <row r="42" spans="1:6" ht="28.5" customHeight="1">
      <c r="A42" s="42" t="s">
        <v>26</v>
      </c>
      <c r="B42" s="52" t="s">
        <v>61</v>
      </c>
      <c r="C42" s="110">
        <f>C43+C44+C45+C46</f>
        <v>1641</v>
      </c>
      <c r="D42" s="35">
        <f t="shared" si="3"/>
        <v>1641</v>
      </c>
      <c r="E42" s="89" t="str">
        <f t="shared" si="2"/>
        <v>-</v>
      </c>
      <c r="F42" s="90">
        <f t="shared" si="1"/>
        <v>1</v>
      </c>
    </row>
    <row r="43" spans="1:6" ht="28.5" customHeight="1">
      <c r="A43" s="53" t="s">
        <v>56</v>
      </c>
      <c r="B43" s="54" t="s">
        <v>52</v>
      </c>
      <c r="C43" s="35">
        <v>1235</v>
      </c>
      <c r="D43" s="35">
        <f t="shared" si="3"/>
        <v>1235</v>
      </c>
      <c r="E43" s="89" t="str">
        <f t="shared" si="2"/>
        <v>-</v>
      </c>
      <c r="F43" s="90">
        <f t="shared" si="1"/>
        <v>1</v>
      </c>
    </row>
    <row r="44" spans="1:6" ht="28.5" customHeight="1">
      <c r="A44" s="53" t="s">
        <v>57</v>
      </c>
      <c r="B44" s="54" t="s">
        <v>53</v>
      </c>
      <c r="C44" s="35">
        <v>199</v>
      </c>
      <c r="D44" s="35">
        <f t="shared" si="3"/>
        <v>199</v>
      </c>
      <c r="E44" s="89" t="str">
        <f t="shared" si="2"/>
        <v>-</v>
      </c>
      <c r="F44" s="90">
        <f t="shared" si="1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3"/>
        <v>0</v>
      </c>
      <c r="E45" s="89" t="str">
        <f t="shared" si="2"/>
        <v>-</v>
      </c>
      <c r="F45" s="90" t="str">
        <f t="shared" si="1"/>
        <v>-</v>
      </c>
    </row>
    <row r="46" spans="1:6" ht="28.5" customHeight="1">
      <c r="A46" s="53" t="s">
        <v>59</v>
      </c>
      <c r="B46" s="54" t="s">
        <v>55</v>
      </c>
      <c r="C46" s="35">
        <v>207</v>
      </c>
      <c r="D46" s="35">
        <f t="shared" si="3"/>
        <v>207</v>
      </c>
      <c r="E46" s="89" t="str">
        <f t="shared" si="2"/>
        <v>-</v>
      </c>
      <c r="F46" s="90">
        <f t="shared" si="1"/>
        <v>1</v>
      </c>
    </row>
    <row r="47" spans="1:6" ht="28.5" customHeight="1">
      <c r="A47" s="42" t="s">
        <v>27</v>
      </c>
      <c r="B47" s="51" t="s">
        <v>28</v>
      </c>
      <c r="C47" s="94">
        <v>0</v>
      </c>
      <c r="D47" s="35">
        <f t="shared" si="3"/>
        <v>0</v>
      </c>
      <c r="E47" s="89" t="str">
        <f t="shared" si="2"/>
        <v>-</v>
      </c>
      <c r="F47" s="90" t="str">
        <f aca="true" t="shared" si="4" ref="F47:F55">IF(C47=0,"-",D47/C47)</f>
        <v>-</v>
      </c>
    </row>
    <row r="48" spans="1:6" ht="48" customHeight="1">
      <c r="A48" s="42" t="s">
        <v>29</v>
      </c>
      <c r="B48" s="51" t="s">
        <v>116</v>
      </c>
      <c r="C48" s="111">
        <v>1872</v>
      </c>
      <c r="D48" s="35">
        <f t="shared" si="3"/>
        <v>1872</v>
      </c>
      <c r="E48" s="89" t="str">
        <f t="shared" si="2"/>
        <v>-</v>
      </c>
      <c r="F48" s="92">
        <f t="shared" si="4"/>
        <v>1</v>
      </c>
    </row>
    <row r="49" spans="1:6" ht="43.5" customHeight="1">
      <c r="A49" s="42" t="s">
        <v>30</v>
      </c>
      <c r="B49" s="51" t="s">
        <v>31</v>
      </c>
      <c r="C49" s="111">
        <v>57</v>
      </c>
      <c r="D49" s="35">
        <f t="shared" si="3"/>
        <v>57</v>
      </c>
      <c r="E49" s="89" t="str">
        <f t="shared" si="2"/>
        <v>-</v>
      </c>
      <c r="F49" s="92">
        <f t="shared" si="4"/>
        <v>1</v>
      </c>
    </row>
    <row r="50" spans="1:6" ht="35.25" customHeight="1">
      <c r="A50" s="42" t="s">
        <v>32</v>
      </c>
      <c r="B50" s="51" t="s">
        <v>33</v>
      </c>
      <c r="C50" s="94">
        <v>184</v>
      </c>
      <c r="D50" s="35">
        <f>C50</f>
        <v>184</v>
      </c>
      <c r="E50" s="89" t="str">
        <f t="shared" si="2"/>
        <v>-</v>
      </c>
      <c r="F50" s="90">
        <f t="shared" si="4"/>
        <v>1</v>
      </c>
    </row>
    <row r="51" spans="1:6" s="3" customFormat="1" ht="30" customHeight="1">
      <c r="A51" s="44" t="s">
        <v>34</v>
      </c>
      <c r="B51" s="56" t="s">
        <v>175</v>
      </c>
      <c r="C51" s="38">
        <f>SUM(C52:C55)</f>
        <v>6732</v>
      </c>
      <c r="D51" s="38">
        <f>SUM(D52:D55)</f>
        <v>6732</v>
      </c>
      <c r="E51" s="13" t="str">
        <f t="shared" si="2"/>
        <v>-</v>
      </c>
      <c r="F51" s="93">
        <f t="shared" si="4"/>
        <v>1</v>
      </c>
    </row>
    <row r="52" spans="1:6" ht="42" customHeight="1">
      <c r="A52" s="42" t="s">
        <v>119</v>
      </c>
      <c r="B52" s="51" t="s">
        <v>144</v>
      </c>
      <c r="C52" s="94">
        <v>1632</v>
      </c>
      <c r="D52" s="35">
        <f>C52</f>
        <v>1632</v>
      </c>
      <c r="E52" s="94" t="str">
        <f>IF(C52=D52,"-",D52-C52)</f>
        <v>-</v>
      </c>
      <c r="F52" s="100">
        <f t="shared" si="4"/>
        <v>1</v>
      </c>
    </row>
    <row r="53" spans="1:6" ht="31.5" customHeight="1">
      <c r="A53" s="42" t="s">
        <v>35</v>
      </c>
      <c r="B53" s="51" t="s">
        <v>63</v>
      </c>
      <c r="C53" s="94">
        <v>5000</v>
      </c>
      <c r="D53" s="35">
        <f>C53</f>
        <v>5000</v>
      </c>
      <c r="E53" s="94" t="str">
        <f>IF(C53=D53,"-",D53-C53)</f>
        <v>-</v>
      </c>
      <c r="F53" s="100">
        <f t="shared" si="4"/>
        <v>1</v>
      </c>
    </row>
    <row r="54" spans="1:6" ht="31.5" customHeight="1">
      <c r="A54" s="42" t="s">
        <v>36</v>
      </c>
      <c r="B54" s="51" t="s">
        <v>121</v>
      </c>
      <c r="C54" s="94">
        <v>0</v>
      </c>
      <c r="D54" s="35">
        <f>C54</f>
        <v>0</v>
      </c>
      <c r="E54" s="94" t="str">
        <f>IF(C54=D54,"-",D54-C54)</f>
        <v>-</v>
      </c>
      <c r="F54" s="100" t="str">
        <f t="shared" si="4"/>
        <v>-</v>
      </c>
    </row>
    <row r="55" spans="1:6" ht="31.5" customHeight="1">
      <c r="A55" s="42" t="s">
        <v>120</v>
      </c>
      <c r="B55" s="51" t="s">
        <v>122</v>
      </c>
      <c r="C55" s="94">
        <v>100</v>
      </c>
      <c r="D55" s="35">
        <f>C55</f>
        <v>100</v>
      </c>
      <c r="E55" s="94" t="str">
        <f>IF(C55=D55,"-",D55-C55)</f>
        <v>-</v>
      </c>
      <c r="F55" s="100">
        <f t="shared" si="4"/>
        <v>1</v>
      </c>
    </row>
    <row r="56" spans="1:6" ht="32.25" customHeight="1">
      <c r="A56" s="44" t="s">
        <v>127</v>
      </c>
      <c r="B56" s="56" t="s">
        <v>155</v>
      </c>
      <c r="C56" s="113">
        <v>0</v>
      </c>
      <c r="D56" s="38">
        <f>C56</f>
        <v>0</v>
      </c>
      <c r="E56" s="13" t="str">
        <f>IF(C56=D56,"-",D56-C56)</f>
        <v>-</v>
      </c>
      <c r="F56" s="93" t="str">
        <f>IF(C56=0,"-",D56/C56)</f>
        <v>-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G1" sqref="G1:AA16384"/>
      <selection pane="topRight" activeCell="G1" sqref="G1:AA16384"/>
      <selection pane="bottomLeft" activeCell="G1" sqref="G1:AA16384"/>
      <selection pane="bottomRight" activeCell="G1" sqref="G1:AA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8" width="0" style="2" hidden="1" customWidth="1"/>
    <col min="9" max="9" width="16.75390625" style="2" hidden="1" customWidth="1"/>
    <col min="10" max="27" width="0" style="2" hidden="1" customWidth="1"/>
    <col min="28" max="16384" width="9.125" style="2" customWidth="1"/>
  </cols>
  <sheetData>
    <row r="1" spans="1:6" s="59" customFormat="1" ht="38.25" customHeight="1">
      <c r="A1" s="129" t="str">
        <f>NFZ!A1</f>
        <v>ZMIANA PLANU FINANSOWEGO NARODOWEGO FUNDUSZU ZDROWIA NA 2010 ROK Z 16 GRUDNIA 2009 ROKU</v>
      </c>
      <c r="B1" s="129"/>
      <c r="C1" s="129"/>
      <c r="D1" s="129"/>
      <c r="E1" s="129"/>
      <c r="F1" s="129"/>
    </row>
    <row r="2" spans="1:3" s="61" customFormat="1" ht="33" customHeight="1">
      <c r="A2" s="130" t="s">
        <v>79</v>
      </c>
      <c r="B2" s="130"/>
      <c r="C2" s="130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2" t="s">
        <v>165</v>
      </c>
      <c r="B4" s="131" t="s">
        <v>62</v>
      </c>
      <c r="C4" s="127" t="s">
        <v>202</v>
      </c>
      <c r="D4" s="124" t="s">
        <v>159</v>
      </c>
      <c r="E4" s="126" t="s">
        <v>164</v>
      </c>
      <c r="F4" s="126" t="s">
        <v>163</v>
      </c>
    </row>
    <row r="5" spans="1:6" s="6" customFormat="1" ht="33" customHeight="1">
      <c r="A5" s="131"/>
      <c r="B5" s="131"/>
      <c r="C5" s="128"/>
      <c r="D5" s="125"/>
      <c r="E5" s="126"/>
      <c r="F5" s="126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9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2538238</v>
      </c>
      <c r="D7" s="16">
        <f>D8+D9+D10+D12+D13+D14+D15+D16+D17+D18+D19+D20+D21+D22+D24+D25+D26+D27</f>
        <v>2586033</v>
      </c>
      <c r="E7" s="13">
        <f>IF(C7=D7,"-",D7-C7)</f>
        <v>47795</v>
      </c>
      <c r="F7" s="88">
        <f>IF(C7=0,"-",D7/C7)</f>
        <v>1.019</v>
      </c>
      <c r="H7" s="3">
        <v>2586033</v>
      </c>
      <c r="I7" s="16">
        <f>D7-H7</f>
        <v>0</v>
      </c>
    </row>
    <row r="8" spans="1:8" ht="31.5" customHeight="1">
      <c r="A8" s="40" t="s">
        <v>1</v>
      </c>
      <c r="B8" s="102" t="s">
        <v>166</v>
      </c>
      <c r="C8" s="111">
        <v>302532</v>
      </c>
      <c r="D8" s="36">
        <f>H8</f>
        <v>392646</v>
      </c>
      <c r="E8" s="89">
        <f aca="true" t="shared" si="0" ref="E8:E29">IF(C8=D8,"-",D8-C8)</f>
        <v>90114</v>
      </c>
      <c r="F8" s="90">
        <f aca="true" t="shared" si="1" ref="F8:F46">IF(C8=0,"-",D8/C8)</f>
        <v>1.2979</v>
      </c>
      <c r="H8" s="2">
        <v>392646</v>
      </c>
    </row>
    <row r="9" spans="1:8" ht="31.5" customHeight="1">
      <c r="A9" s="40" t="s">
        <v>2</v>
      </c>
      <c r="B9" s="102" t="s">
        <v>167</v>
      </c>
      <c r="C9" s="111">
        <v>165069</v>
      </c>
      <c r="D9" s="36">
        <f>ROUND(H9-('[6]REZERWA NA MIGRACJĘ'!$C$16-'[7]REZERWA NA MIGRACJĘ'!$C$16),0)</f>
        <v>161207</v>
      </c>
      <c r="E9" s="89">
        <f t="shared" si="0"/>
        <v>-3862</v>
      </c>
      <c r="F9" s="90">
        <f t="shared" si="1"/>
        <v>0.9766</v>
      </c>
      <c r="H9" s="2">
        <v>161388</v>
      </c>
    </row>
    <row r="10" spans="1:8" ht="31.5" customHeight="1">
      <c r="A10" s="40" t="s">
        <v>3</v>
      </c>
      <c r="B10" s="102" t="s">
        <v>158</v>
      </c>
      <c r="C10" s="111">
        <v>1063631</v>
      </c>
      <c r="D10" s="36">
        <f>ROUND(H10-('[6]REZERWA NA MIGRACJĘ'!$D$16-'[7]REZERWA NA MIGRACJĘ'!$D$16),0)+1+67852</f>
        <v>1034254</v>
      </c>
      <c r="E10" s="89">
        <f t="shared" si="0"/>
        <v>-29377</v>
      </c>
      <c r="F10" s="90">
        <f t="shared" si="1"/>
        <v>0.9724</v>
      </c>
      <c r="H10" s="2">
        <v>969192</v>
      </c>
    </row>
    <row r="11" spans="1:8" ht="31.5" customHeight="1">
      <c r="A11" s="103" t="s">
        <v>64</v>
      </c>
      <c r="B11" s="45" t="s">
        <v>65</v>
      </c>
      <c r="C11" s="111">
        <v>53297</v>
      </c>
      <c r="D11" s="36">
        <f>ROUND(H11-('[6]REZERWA NA MIGRACJĘ'!$E$16-'[7]REZERWA NA MIGRACJĘ'!$E$16),0)</f>
        <v>53242</v>
      </c>
      <c r="E11" s="89">
        <f t="shared" si="0"/>
        <v>-55</v>
      </c>
      <c r="F11" s="90">
        <f t="shared" si="1"/>
        <v>0.999</v>
      </c>
      <c r="H11" s="2">
        <v>53298</v>
      </c>
    </row>
    <row r="12" spans="1:8" ht="31.5" customHeight="1">
      <c r="A12" s="40" t="s">
        <v>4</v>
      </c>
      <c r="B12" s="102" t="s">
        <v>173</v>
      </c>
      <c r="C12" s="111">
        <v>72305</v>
      </c>
      <c r="D12" s="36">
        <f>ROUND(H12-('[6]REZERWA NA MIGRACJĘ'!$F$16-'[7]REZERWA NA MIGRACJĘ'!$F$16),0)</f>
        <v>69791</v>
      </c>
      <c r="E12" s="89">
        <f t="shared" si="0"/>
        <v>-2514</v>
      </c>
      <c r="F12" s="90">
        <f t="shared" si="1"/>
        <v>0.9652</v>
      </c>
      <c r="H12" s="2">
        <v>69923</v>
      </c>
    </row>
    <row r="13" spans="1:8" ht="31.5" customHeight="1">
      <c r="A13" s="40" t="s">
        <v>5</v>
      </c>
      <c r="B13" s="102" t="s">
        <v>168</v>
      </c>
      <c r="C13" s="111">
        <v>95614</v>
      </c>
      <c r="D13" s="36">
        <f>ROUND(H13-('[6]REZERWA NA MIGRACJĘ'!$G$16-'[7]REZERWA NA MIGRACJĘ'!$G$16),0)</f>
        <v>94432</v>
      </c>
      <c r="E13" s="89">
        <f t="shared" si="0"/>
        <v>-1182</v>
      </c>
      <c r="F13" s="90">
        <f t="shared" si="1"/>
        <v>0.9876</v>
      </c>
      <c r="H13" s="2">
        <v>94550</v>
      </c>
    </row>
    <row r="14" spans="1:8" ht="31.5" customHeight="1">
      <c r="A14" s="40" t="s">
        <v>6</v>
      </c>
      <c r="B14" s="102" t="s">
        <v>177</v>
      </c>
      <c r="C14" s="111">
        <v>70095</v>
      </c>
      <c r="D14" s="36">
        <f>ROUND(H14-('[6]REZERWA NA MIGRACJĘ'!$H$16-'[7]REZERWA NA MIGRACJĘ'!$H$16),0)</f>
        <v>56303</v>
      </c>
      <c r="E14" s="89">
        <f t="shared" si="0"/>
        <v>-13792</v>
      </c>
      <c r="F14" s="90">
        <f t="shared" si="1"/>
        <v>0.8032</v>
      </c>
      <c r="H14" s="2">
        <v>56357</v>
      </c>
    </row>
    <row r="15" spans="1:8" ht="31.5" customHeight="1">
      <c r="A15" s="40" t="s">
        <v>7</v>
      </c>
      <c r="B15" s="102" t="s">
        <v>176</v>
      </c>
      <c r="C15" s="111">
        <v>12189</v>
      </c>
      <c r="D15" s="36">
        <f>ROUND(H15-('[6]REZERWA NA MIGRACJĘ'!$I$16-'[7]REZERWA NA MIGRACJĘ'!$I$16),0)</f>
        <v>12172</v>
      </c>
      <c r="E15" s="89">
        <f>IF(C15=D15,"-",D15-C15)</f>
        <v>-17</v>
      </c>
      <c r="F15" s="90">
        <f>IF(C15=0,"-",D15/C15)</f>
        <v>0.9986</v>
      </c>
      <c r="H15" s="2">
        <v>12153</v>
      </c>
    </row>
    <row r="16" spans="1:8" ht="31.5" customHeight="1">
      <c r="A16" s="40" t="s">
        <v>8</v>
      </c>
      <c r="B16" s="102" t="s">
        <v>169</v>
      </c>
      <c r="C16" s="111">
        <v>81471</v>
      </c>
      <c r="D16" s="36">
        <f>ROUND(H16-('[6]REZERWA NA MIGRACJĘ'!$J16-'[7]REZERWA NA MIGRACJĘ'!$J$16),0)</f>
        <v>82778</v>
      </c>
      <c r="E16" s="89">
        <f t="shared" si="0"/>
        <v>1307</v>
      </c>
      <c r="F16" s="90">
        <f t="shared" si="1"/>
        <v>1.016</v>
      </c>
      <c r="H16" s="2">
        <v>82885</v>
      </c>
    </row>
    <row r="17" spans="1:8" ht="31.5" customHeight="1">
      <c r="A17" s="40" t="s">
        <v>9</v>
      </c>
      <c r="B17" s="102" t="s">
        <v>170</v>
      </c>
      <c r="C17" s="111">
        <v>24542</v>
      </c>
      <c r="D17" s="36">
        <f>ROUND(H17,0)</f>
        <v>24542</v>
      </c>
      <c r="E17" s="89" t="str">
        <f t="shared" si="0"/>
        <v>-</v>
      </c>
      <c r="F17" s="90">
        <f t="shared" si="1"/>
        <v>1</v>
      </c>
      <c r="H17" s="2">
        <v>24542</v>
      </c>
    </row>
    <row r="18" spans="1:8" ht="31.5" customHeight="1">
      <c r="A18" s="40" t="s">
        <v>10</v>
      </c>
      <c r="B18" s="102" t="s">
        <v>178</v>
      </c>
      <c r="C18" s="111">
        <v>2396</v>
      </c>
      <c r="D18" s="36">
        <f>ROUND(H18,0)</f>
        <v>2396</v>
      </c>
      <c r="E18" s="89" t="str">
        <f t="shared" si="0"/>
        <v>-</v>
      </c>
      <c r="F18" s="90">
        <f t="shared" si="1"/>
        <v>1</v>
      </c>
      <c r="H18" s="2">
        <v>2396</v>
      </c>
    </row>
    <row r="19" spans="1:8" ht="46.5" customHeight="1">
      <c r="A19" s="40" t="s">
        <v>11</v>
      </c>
      <c r="B19" s="102" t="s">
        <v>171</v>
      </c>
      <c r="C19" s="111">
        <v>3914</v>
      </c>
      <c r="D19" s="36">
        <f>ROUND(H19-('[6]REZERWA NA MIGRACJĘ'!$K$16-'[7]REZERWA NA MIGRACJĘ'!$K$16),0)</f>
        <v>3759</v>
      </c>
      <c r="E19" s="89">
        <f t="shared" si="0"/>
        <v>-155</v>
      </c>
      <c r="F19" s="90">
        <f t="shared" si="1"/>
        <v>0.9604</v>
      </c>
      <c r="H19" s="2">
        <v>3778</v>
      </c>
    </row>
    <row r="20" spans="1:8" ht="31.5" customHeight="1">
      <c r="A20" s="40" t="s">
        <v>12</v>
      </c>
      <c r="B20" s="102" t="s">
        <v>172</v>
      </c>
      <c r="C20" s="111">
        <v>54068</v>
      </c>
      <c r="D20" s="36">
        <f>ROUND(H20-('[6]REZERWA NA MIGRACJĘ'!$L$16-'[7]REZERWA NA MIGRACJĘ'!$L$16),0)</f>
        <v>54601</v>
      </c>
      <c r="E20" s="89">
        <f t="shared" si="0"/>
        <v>533</v>
      </c>
      <c r="F20" s="90">
        <f t="shared" si="1"/>
        <v>1.0099</v>
      </c>
      <c r="H20" s="2">
        <v>55208</v>
      </c>
    </row>
    <row r="21" spans="1:8" ht="31.5" customHeight="1">
      <c r="A21" s="40" t="s">
        <v>14</v>
      </c>
      <c r="B21" s="46" t="s">
        <v>13</v>
      </c>
      <c r="C21" s="111">
        <v>29411</v>
      </c>
      <c r="D21" s="36">
        <f>H21</f>
        <v>29411</v>
      </c>
      <c r="E21" s="89" t="str">
        <f t="shared" si="0"/>
        <v>-</v>
      </c>
      <c r="F21" s="90">
        <f t="shared" si="1"/>
        <v>1</v>
      </c>
      <c r="H21" s="2">
        <v>29411</v>
      </c>
    </row>
    <row r="22" spans="1:8" ht="31.5" customHeight="1">
      <c r="A22" s="41" t="s">
        <v>15</v>
      </c>
      <c r="B22" s="102" t="s">
        <v>174</v>
      </c>
      <c r="C22" s="111">
        <v>387104</v>
      </c>
      <c r="D22" s="36">
        <f>H22-67852</f>
        <v>372797</v>
      </c>
      <c r="E22" s="89">
        <f t="shared" si="0"/>
        <v>-14307</v>
      </c>
      <c r="F22" s="90">
        <f t="shared" si="1"/>
        <v>0.963</v>
      </c>
      <c r="H22" s="2">
        <v>440649</v>
      </c>
    </row>
    <row r="23" spans="1:8" ht="31.5" customHeight="1">
      <c r="A23" s="39" t="s">
        <v>179</v>
      </c>
      <c r="B23" s="45" t="s">
        <v>66</v>
      </c>
      <c r="C23" s="111">
        <v>694</v>
      </c>
      <c r="D23" s="36">
        <f>H23</f>
        <v>694</v>
      </c>
      <c r="E23" s="89" t="str">
        <f t="shared" si="0"/>
        <v>-</v>
      </c>
      <c r="F23" s="90">
        <f t="shared" si="1"/>
        <v>1</v>
      </c>
      <c r="H23" s="2">
        <v>694</v>
      </c>
    </row>
    <row r="24" spans="1:8" ht="33" customHeight="1">
      <c r="A24" s="42" t="s">
        <v>16</v>
      </c>
      <c r="B24" s="47" t="s">
        <v>140</v>
      </c>
      <c r="C24" s="111">
        <v>0</v>
      </c>
      <c r="D24" s="36">
        <f>H24</f>
        <v>0</v>
      </c>
      <c r="E24" s="89" t="str">
        <f>IF(C24=D24,"-",D24-C24)</f>
        <v>-</v>
      </c>
      <c r="F24" s="90" t="str">
        <f>IF(C24=0,"-",D24/C24)</f>
        <v>-</v>
      </c>
      <c r="H24" s="2">
        <v>0</v>
      </c>
    </row>
    <row r="25" spans="1:8" ht="33" customHeight="1">
      <c r="A25" s="42" t="s">
        <v>137</v>
      </c>
      <c r="B25" s="48" t="s">
        <v>60</v>
      </c>
      <c r="C25" s="111">
        <v>0</v>
      </c>
      <c r="D25" s="36">
        <f>H25</f>
        <v>0</v>
      </c>
      <c r="E25" s="89" t="str">
        <f>IF(C25=D25,"-",D25-C25)</f>
        <v>-</v>
      </c>
      <c r="F25" s="90" t="str">
        <f>IF(C25=0,"-",D25/C25)</f>
        <v>-</v>
      </c>
      <c r="H25" s="2">
        <v>0</v>
      </c>
    </row>
    <row r="26" spans="1:8" ht="33" customHeight="1">
      <c r="A26" s="42" t="s">
        <v>138</v>
      </c>
      <c r="B26" s="48" t="s">
        <v>141</v>
      </c>
      <c r="C26" s="111">
        <v>173797</v>
      </c>
      <c r="D26" s="36">
        <f>ROUND('[6]REZERWA NA MIGRACJĘ'!$B$16,0)</f>
        <v>194850</v>
      </c>
      <c r="E26" s="89">
        <f>IF(C26=D26,"-",D26-C26)</f>
        <v>21053</v>
      </c>
      <c r="F26" s="90">
        <f>IF(C26=0,"-",D26/C26)</f>
        <v>1.1211</v>
      </c>
      <c r="H26" s="2">
        <v>190855</v>
      </c>
    </row>
    <row r="27" spans="1:8" ht="33" customHeight="1">
      <c r="A27" s="42" t="s">
        <v>139</v>
      </c>
      <c r="B27" s="48" t="s">
        <v>142</v>
      </c>
      <c r="C27" s="111">
        <v>100</v>
      </c>
      <c r="D27" s="36">
        <f>ROUND(H27-('[6]REZERWA NA MIGRACJĘ'!$M$16-'[7]REZERWA NA MIGRACJĘ'!$M$16),0)</f>
        <v>94</v>
      </c>
      <c r="E27" s="89">
        <f>IF(C27=D27,"-",D27-C27)</f>
        <v>-6</v>
      </c>
      <c r="F27" s="90">
        <f>IF(C27=0,"-",D27/C27)</f>
        <v>0.94</v>
      </c>
      <c r="H27" s="2">
        <v>100</v>
      </c>
    </row>
    <row r="28" spans="1:6" s="5" customFormat="1" ht="31.5" customHeight="1">
      <c r="A28" s="43" t="s">
        <v>68</v>
      </c>
      <c r="B28" s="49" t="s">
        <v>69</v>
      </c>
      <c r="C28" s="112">
        <v>0</v>
      </c>
      <c r="D28" s="119">
        <f>C28</f>
        <v>0</v>
      </c>
      <c r="E28" s="15" t="str">
        <f t="shared" si="0"/>
        <v>-</v>
      </c>
      <c r="F28" s="120" t="str">
        <f t="shared" si="1"/>
        <v>-</v>
      </c>
    </row>
    <row r="29" spans="1:6" s="5" customFormat="1" ht="31.5" customHeight="1">
      <c r="A29" s="43" t="s">
        <v>67</v>
      </c>
      <c r="B29" s="49" t="s">
        <v>70</v>
      </c>
      <c r="C29" s="112">
        <v>99677</v>
      </c>
      <c r="D29" s="119">
        <f>C29</f>
        <v>99677</v>
      </c>
      <c r="E29" s="15" t="str">
        <f t="shared" si="0"/>
        <v>-</v>
      </c>
      <c r="F29" s="120">
        <f t="shared" si="1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22610</v>
      </c>
      <c r="D30" s="34">
        <f>D31+D32+D33+D41+D42+D48+D49+D50+D47</f>
        <v>22610</v>
      </c>
      <c r="E30" s="13" t="str">
        <f>IF(C30=D30,"-",D30-C30)</f>
        <v>-</v>
      </c>
      <c r="F30" s="91">
        <f t="shared" si="1"/>
        <v>1</v>
      </c>
    </row>
    <row r="31" spans="1:6" ht="28.5" customHeight="1">
      <c r="A31" s="42" t="s">
        <v>19</v>
      </c>
      <c r="B31" s="51" t="s">
        <v>20</v>
      </c>
      <c r="C31" s="94">
        <v>861</v>
      </c>
      <c r="D31" s="35">
        <f>C31</f>
        <v>861</v>
      </c>
      <c r="E31" s="89" t="str">
        <f aca="true" t="shared" si="2" ref="E31:E51">IF(C31=D31,"-",D31-C31)</f>
        <v>-</v>
      </c>
      <c r="F31" s="90">
        <f t="shared" si="1"/>
        <v>1</v>
      </c>
    </row>
    <row r="32" spans="1:6" ht="28.5" customHeight="1">
      <c r="A32" s="42" t="s">
        <v>21</v>
      </c>
      <c r="B32" s="51" t="s">
        <v>22</v>
      </c>
      <c r="C32" s="94">
        <v>2218</v>
      </c>
      <c r="D32" s="35">
        <f>C32</f>
        <v>2218</v>
      </c>
      <c r="E32" s="89" t="str">
        <f t="shared" si="2"/>
        <v>-</v>
      </c>
      <c r="F32" s="90">
        <f t="shared" si="1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103</v>
      </c>
      <c r="D33" s="35">
        <f>D34+D36+D37+D38+D39+D40</f>
        <v>103</v>
      </c>
      <c r="E33" s="89" t="str">
        <f t="shared" si="2"/>
        <v>-</v>
      </c>
      <c r="F33" s="90">
        <f t="shared" si="1"/>
        <v>1</v>
      </c>
    </row>
    <row r="34" spans="1:6" ht="28.5" customHeight="1">
      <c r="A34" s="53" t="s">
        <v>45</v>
      </c>
      <c r="B34" s="54" t="s">
        <v>38</v>
      </c>
      <c r="C34" s="94">
        <v>22</v>
      </c>
      <c r="D34" s="35">
        <f>C34</f>
        <v>22</v>
      </c>
      <c r="E34" s="89" t="str">
        <f t="shared" si="2"/>
        <v>-</v>
      </c>
      <c r="F34" s="90">
        <f t="shared" si="1"/>
        <v>1</v>
      </c>
    </row>
    <row r="35" spans="1:6" ht="28.5" customHeight="1">
      <c r="A35" s="53" t="s">
        <v>46</v>
      </c>
      <c r="B35" s="55" t="s">
        <v>39</v>
      </c>
      <c r="C35" s="94">
        <v>22</v>
      </c>
      <c r="D35" s="35">
        <f aca="true" t="shared" si="3" ref="D35:D47">C35</f>
        <v>22</v>
      </c>
      <c r="E35" s="89" t="str">
        <f t="shared" si="2"/>
        <v>-</v>
      </c>
      <c r="F35" s="90">
        <f t="shared" si="1"/>
        <v>1</v>
      </c>
    </row>
    <row r="36" spans="1:6" ht="28.5" customHeight="1">
      <c r="A36" s="53" t="s">
        <v>47</v>
      </c>
      <c r="B36" s="54" t="s">
        <v>40</v>
      </c>
      <c r="C36" s="94">
        <v>0</v>
      </c>
      <c r="D36" s="35">
        <f t="shared" si="3"/>
        <v>0</v>
      </c>
      <c r="E36" s="89" t="str">
        <f t="shared" si="2"/>
        <v>-</v>
      </c>
      <c r="F36" s="90" t="str">
        <f t="shared" si="1"/>
        <v>-</v>
      </c>
    </row>
    <row r="37" spans="1:6" ht="28.5" customHeight="1">
      <c r="A37" s="53" t="s">
        <v>48</v>
      </c>
      <c r="B37" s="54" t="s">
        <v>41</v>
      </c>
      <c r="C37" s="94">
        <v>0</v>
      </c>
      <c r="D37" s="35">
        <f t="shared" si="3"/>
        <v>0</v>
      </c>
      <c r="E37" s="89" t="str">
        <f t="shared" si="2"/>
        <v>-</v>
      </c>
      <c r="F37" s="90" t="str">
        <f t="shared" si="1"/>
        <v>-</v>
      </c>
    </row>
    <row r="38" spans="1:6" ht="28.5" customHeight="1">
      <c r="A38" s="53" t="s">
        <v>49</v>
      </c>
      <c r="B38" s="54" t="s">
        <v>42</v>
      </c>
      <c r="C38" s="94">
        <v>0</v>
      </c>
      <c r="D38" s="35">
        <f t="shared" si="3"/>
        <v>0</v>
      </c>
      <c r="E38" s="89" t="str">
        <f t="shared" si="2"/>
        <v>-</v>
      </c>
      <c r="F38" s="90" t="str">
        <f t="shared" si="1"/>
        <v>-</v>
      </c>
    </row>
    <row r="39" spans="1:6" ht="28.5" customHeight="1">
      <c r="A39" s="53" t="s">
        <v>50</v>
      </c>
      <c r="B39" s="54" t="s">
        <v>43</v>
      </c>
      <c r="C39" s="94">
        <v>52</v>
      </c>
      <c r="D39" s="35">
        <f t="shared" si="3"/>
        <v>52</v>
      </c>
      <c r="E39" s="89" t="str">
        <f t="shared" si="2"/>
        <v>-</v>
      </c>
      <c r="F39" s="90">
        <f t="shared" si="1"/>
        <v>1</v>
      </c>
    </row>
    <row r="40" spans="1:6" ht="28.5" customHeight="1">
      <c r="A40" s="53" t="s">
        <v>51</v>
      </c>
      <c r="B40" s="54" t="s">
        <v>44</v>
      </c>
      <c r="C40" s="94">
        <v>29</v>
      </c>
      <c r="D40" s="35">
        <f t="shared" si="3"/>
        <v>29</v>
      </c>
      <c r="E40" s="89" t="str">
        <f t="shared" si="2"/>
        <v>-</v>
      </c>
      <c r="F40" s="90">
        <f t="shared" si="1"/>
        <v>1</v>
      </c>
    </row>
    <row r="41" spans="1:6" ht="28.5" customHeight="1">
      <c r="A41" s="42" t="s">
        <v>24</v>
      </c>
      <c r="B41" s="51" t="s">
        <v>25</v>
      </c>
      <c r="C41" s="35">
        <v>12812</v>
      </c>
      <c r="D41" s="35">
        <f t="shared" si="3"/>
        <v>12812</v>
      </c>
      <c r="E41" s="89" t="str">
        <f t="shared" si="2"/>
        <v>-</v>
      </c>
      <c r="F41" s="90">
        <f t="shared" si="1"/>
        <v>1</v>
      </c>
    </row>
    <row r="42" spans="1:6" ht="28.5" customHeight="1">
      <c r="A42" s="42" t="s">
        <v>26</v>
      </c>
      <c r="B42" s="52" t="s">
        <v>61</v>
      </c>
      <c r="C42" s="110">
        <f>C43+C44+C45+C46</f>
        <v>2588</v>
      </c>
      <c r="D42" s="35">
        <f>SUM(D43:D46)</f>
        <v>2588</v>
      </c>
      <c r="E42" s="89" t="str">
        <f t="shared" si="2"/>
        <v>-</v>
      </c>
      <c r="F42" s="90">
        <f t="shared" si="1"/>
        <v>1</v>
      </c>
    </row>
    <row r="43" spans="1:6" ht="28.5" customHeight="1">
      <c r="A43" s="53" t="s">
        <v>56</v>
      </c>
      <c r="B43" s="54" t="s">
        <v>52</v>
      </c>
      <c r="C43" s="35">
        <v>1946</v>
      </c>
      <c r="D43" s="35">
        <f>C43</f>
        <v>1946</v>
      </c>
      <c r="E43" s="89" t="str">
        <f t="shared" si="2"/>
        <v>-</v>
      </c>
      <c r="F43" s="90">
        <f t="shared" si="1"/>
        <v>1</v>
      </c>
    </row>
    <row r="44" spans="1:6" ht="28.5" customHeight="1">
      <c r="A44" s="53" t="s">
        <v>57</v>
      </c>
      <c r="B44" s="54" t="s">
        <v>53</v>
      </c>
      <c r="C44" s="35">
        <v>314</v>
      </c>
      <c r="D44" s="35">
        <f>C44</f>
        <v>314</v>
      </c>
      <c r="E44" s="89" t="str">
        <f t="shared" si="2"/>
        <v>-</v>
      </c>
      <c r="F44" s="90">
        <f t="shared" si="1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3"/>
        <v>0</v>
      </c>
      <c r="E45" s="89" t="str">
        <f t="shared" si="2"/>
        <v>-</v>
      </c>
      <c r="F45" s="90" t="str">
        <f t="shared" si="1"/>
        <v>-</v>
      </c>
    </row>
    <row r="46" spans="1:6" ht="28.5" customHeight="1">
      <c r="A46" s="53" t="s">
        <v>59</v>
      </c>
      <c r="B46" s="54" t="s">
        <v>55</v>
      </c>
      <c r="C46" s="35">
        <v>328</v>
      </c>
      <c r="D46" s="35">
        <f>C46</f>
        <v>328</v>
      </c>
      <c r="E46" s="89" t="str">
        <f t="shared" si="2"/>
        <v>-</v>
      </c>
      <c r="F46" s="90">
        <f t="shared" si="1"/>
        <v>1</v>
      </c>
    </row>
    <row r="47" spans="1:6" ht="28.5" customHeight="1">
      <c r="A47" s="42" t="s">
        <v>27</v>
      </c>
      <c r="B47" s="51" t="s">
        <v>28</v>
      </c>
      <c r="C47" s="94">
        <v>0</v>
      </c>
      <c r="D47" s="35">
        <f t="shared" si="3"/>
        <v>0</v>
      </c>
      <c r="E47" s="89" t="str">
        <f t="shared" si="2"/>
        <v>-</v>
      </c>
      <c r="F47" s="90" t="str">
        <f aca="true" t="shared" si="4" ref="F47:F55">IF(C47=0,"-",D47/C47)</f>
        <v>-</v>
      </c>
    </row>
    <row r="48" spans="1:6" ht="48" customHeight="1">
      <c r="A48" s="42" t="s">
        <v>29</v>
      </c>
      <c r="B48" s="51" t="s">
        <v>116</v>
      </c>
      <c r="C48" s="111">
        <v>3335</v>
      </c>
      <c r="D48" s="35">
        <f>C48</f>
        <v>3335</v>
      </c>
      <c r="E48" s="89" t="str">
        <f t="shared" si="2"/>
        <v>-</v>
      </c>
      <c r="F48" s="92">
        <f t="shared" si="4"/>
        <v>1</v>
      </c>
    </row>
    <row r="49" spans="1:6" ht="43.5" customHeight="1">
      <c r="A49" s="42" t="s">
        <v>30</v>
      </c>
      <c r="B49" s="51" t="s">
        <v>31</v>
      </c>
      <c r="C49" s="111">
        <v>480</v>
      </c>
      <c r="D49" s="35">
        <f>C49</f>
        <v>480</v>
      </c>
      <c r="E49" s="89" t="str">
        <f t="shared" si="2"/>
        <v>-</v>
      </c>
      <c r="F49" s="92">
        <f t="shared" si="4"/>
        <v>1</v>
      </c>
    </row>
    <row r="50" spans="1:6" ht="35.25" customHeight="1">
      <c r="A50" s="42" t="s">
        <v>32</v>
      </c>
      <c r="B50" s="51" t="s">
        <v>33</v>
      </c>
      <c r="C50" s="94">
        <v>213</v>
      </c>
      <c r="D50" s="35">
        <f>C50</f>
        <v>213</v>
      </c>
      <c r="E50" s="89" t="str">
        <f t="shared" si="2"/>
        <v>-</v>
      </c>
      <c r="F50" s="90">
        <f t="shared" si="4"/>
        <v>1</v>
      </c>
    </row>
    <row r="51" spans="1:6" s="3" customFormat="1" ht="30" customHeight="1">
      <c r="A51" s="44" t="s">
        <v>34</v>
      </c>
      <c r="B51" s="56" t="s">
        <v>175</v>
      </c>
      <c r="C51" s="38">
        <f>SUM(C52:C55)</f>
        <v>10554</v>
      </c>
      <c r="D51" s="38">
        <f>SUM(D52:D55)</f>
        <v>10554</v>
      </c>
      <c r="E51" s="13" t="str">
        <f t="shared" si="2"/>
        <v>-</v>
      </c>
      <c r="F51" s="93">
        <f t="shared" si="4"/>
        <v>1</v>
      </c>
    </row>
    <row r="52" spans="1:6" ht="42" customHeight="1">
      <c r="A52" s="42" t="s">
        <v>119</v>
      </c>
      <c r="B52" s="51" t="s">
        <v>144</v>
      </c>
      <c r="C52" s="94">
        <v>247</v>
      </c>
      <c r="D52" s="35">
        <f>C52</f>
        <v>247</v>
      </c>
      <c r="E52" s="94" t="str">
        <f>IF(C52=D52,"-",D52-C52)</f>
        <v>-</v>
      </c>
      <c r="F52" s="100">
        <f t="shared" si="4"/>
        <v>1</v>
      </c>
    </row>
    <row r="53" spans="1:6" ht="31.5" customHeight="1">
      <c r="A53" s="42" t="s">
        <v>35</v>
      </c>
      <c r="B53" s="51" t="s">
        <v>63</v>
      </c>
      <c r="C53" s="94">
        <v>10057</v>
      </c>
      <c r="D53" s="35">
        <f>C53</f>
        <v>10057</v>
      </c>
      <c r="E53" s="94" t="str">
        <f>IF(C53=D53,"-",D53-C53)</f>
        <v>-</v>
      </c>
      <c r="F53" s="100">
        <f t="shared" si="4"/>
        <v>1</v>
      </c>
    </row>
    <row r="54" spans="1:6" ht="31.5" customHeight="1">
      <c r="A54" s="42" t="s">
        <v>36</v>
      </c>
      <c r="B54" s="51" t="s">
        <v>121</v>
      </c>
      <c r="C54" s="94">
        <v>0</v>
      </c>
      <c r="D54" s="35">
        <f>C54</f>
        <v>0</v>
      </c>
      <c r="E54" s="94" t="str">
        <f>IF(C54=D54,"-",D54-C54)</f>
        <v>-</v>
      </c>
      <c r="F54" s="100" t="str">
        <f t="shared" si="4"/>
        <v>-</v>
      </c>
    </row>
    <row r="55" spans="1:6" ht="31.5" customHeight="1">
      <c r="A55" s="42" t="s">
        <v>120</v>
      </c>
      <c r="B55" s="51" t="s">
        <v>122</v>
      </c>
      <c r="C55" s="94">
        <v>250</v>
      </c>
      <c r="D55" s="35">
        <f>C55</f>
        <v>250</v>
      </c>
      <c r="E55" s="94" t="str">
        <f>IF(C55=D55,"-",D55-C55)</f>
        <v>-</v>
      </c>
      <c r="F55" s="100">
        <f t="shared" si="4"/>
        <v>1</v>
      </c>
    </row>
    <row r="56" spans="1:6" ht="32.25" customHeight="1">
      <c r="A56" s="44" t="s">
        <v>127</v>
      </c>
      <c r="B56" s="56" t="s">
        <v>155</v>
      </c>
      <c r="C56" s="113">
        <v>1888</v>
      </c>
      <c r="D56" s="38">
        <f>C56</f>
        <v>1888</v>
      </c>
      <c r="E56" s="13" t="str">
        <f>IF(C56=D56,"-",D56-C56)</f>
        <v>-</v>
      </c>
      <c r="F56" s="93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G1" sqref="G1:AA16384"/>
      <selection pane="topRight" activeCell="G1" sqref="G1:AA16384"/>
      <selection pane="bottomLeft" activeCell="G1" sqref="G1:AA16384"/>
      <selection pane="bottomRight" activeCell="G1" sqref="G1:AA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8" width="0" style="2" hidden="1" customWidth="1"/>
    <col min="9" max="9" width="15.125" style="2" hidden="1" customWidth="1"/>
    <col min="10" max="27" width="0" style="2" hidden="1" customWidth="1"/>
    <col min="28" max="16384" width="9.125" style="2" customWidth="1"/>
  </cols>
  <sheetData>
    <row r="1" spans="1:6" s="59" customFormat="1" ht="38.25" customHeight="1">
      <c r="A1" s="129" t="str">
        <f>NFZ!A1</f>
        <v>ZMIANA PLANU FINANSOWEGO NARODOWEGO FUNDUSZU ZDROWIA NA 2010 ROK Z 16 GRUDNIA 2009 ROKU</v>
      </c>
      <c r="B1" s="129"/>
      <c r="C1" s="129"/>
      <c r="D1" s="129"/>
      <c r="E1" s="129"/>
      <c r="F1" s="129"/>
    </row>
    <row r="2" spans="1:3" s="61" customFormat="1" ht="33" customHeight="1">
      <c r="A2" s="130" t="s">
        <v>80</v>
      </c>
      <c r="B2" s="130"/>
      <c r="C2" s="130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2" t="s">
        <v>165</v>
      </c>
      <c r="B4" s="131" t="s">
        <v>62</v>
      </c>
      <c r="C4" s="127" t="s">
        <v>202</v>
      </c>
      <c r="D4" s="124" t="s">
        <v>159</v>
      </c>
      <c r="E4" s="126" t="s">
        <v>164</v>
      </c>
      <c r="F4" s="126" t="s">
        <v>163</v>
      </c>
    </row>
    <row r="5" spans="1:6" s="6" customFormat="1" ht="33" customHeight="1">
      <c r="A5" s="131"/>
      <c r="B5" s="131"/>
      <c r="C5" s="128"/>
      <c r="D5" s="125"/>
      <c r="E5" s="126"/>
      <c r="F5" s="126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9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1607368</v>
      </c>
      <c r="D7" s="16">
        <f>D8+D9+D10+D12+D13+D14+D15+D16+D17+D18+D19+D20+D21+D22+D24+D25+D26+D27</f>
        <v>1605461</v>
      </c>
      <c r="E7" s="13">
        <f>IF(C7=D7,"-",D7-C7)</f>
        <v>-1907</v>
      </c>
      <c r="F7" s="88">
        <f>IF(C7=0,"-",D7/C7)</f>
        <v>0.999</v>
      </c>
      <c r="H7" s="3">
        <v>1605461</v>
      </c>
      <c r="I7" s="16">
        <f>D7-H7</f>
        <v>0</v>
      </c>
    </row>
    <row r="8" spans="1:8" ht="31.5" customHeight="1">
      <c r="A8" s="40" t="s">
        <v>1</v>
      </c>
      <c r="B8" s="102" t="s">
        <v>166</v>
      </c>
      <c r="C8" s="111">
        <v>225056</v>
      </c>
      <c r="D8" s="36">
        <f>H8</f>
        <v>228893</v>
      </c>
      <c r="E8" s="89">
        <f aca="true" t="shared" si="0" ref="E8:E29">IF(C8=D8,"-",D8-C8)</f>
        <v>3837</v>
      </c>
      <c r="F8" s="90">
        <f aca="true" t="shared" si="1" ref="F8:F46">IF(C8=0,"-",D8/C8)</f>
        <v>1.017</v>
      </c>
      <c r="H8" s="2">
        <v>228893</v>
      </c>
    </row>
    <row r="9" spans="1:8" ht="31.5" customHeight="1">
      <c r="A9" s="40" t="s">
        <v>2</v>
      </c>
      <c r="B9" s="102" t="s">
        <v>167</v>
      </c>
      <c r="C9" s="111">
        <v>134800</v>
      </c>
      <c r="D9" s="36">
        <f>ROUND(H9-('[6]REZERWA NA MIGRACJĘ'!$C$17-'[7]REZERWA NA MIGRACJĘ'!$C$17),0)</f>
        <v>130759</v>
      </c>
      <c r="E9" s="89">
        <f t="shared" si="0"/>
        <v>-4041</v>
      </c>
      <c r="F9" s="90">
        <f t="shared" si="1"/>
        <v>0.97</v>
      </c>
      <c r="H9" s="2">
        <v>131120</v>
      </c>
    </row>
    <row r="10" spans="1:8" ht="31.5" customHeight="1">
      <c r="A10" s="40" t="s">
        <v>3</v>
      </c>
      <c r="B10" s="102" t="s">
        <v>158</v>
      </c>
      <c r="C10" s="111">
        <v>684000</v>
      </c>
      <c r="D10" s="36">
        <f>ROUND(H10-('[6]REZERWA NA MIGRACJĘ'!$D$17-'[7]REZERWA NA MIGRACJĘ'!$D$17),0)+1+28250</f>
        <v>689929</v>
      </c>
      <c r="E10" s="89">
        <f t="shared" si="0"/>
        <v>5929</v>
      </c>
      <c r="F10" s="90">
        <f t="shared" si="1"/>
        <v>1.0087</v>
      </c>
      <c r="H10" s="2">
        <v>668632</v>
      </c>
    </row>
    <row r="11" spans="1:8" ht="31.5" customHeight="1">
      <c r="A11" s="103" t="s">
        <v>64</v>
      </c>
      <c r="B11" s="45" t="s">
        <v>65</v>
      </c>
      <c r="C11" s="111">
        <v>34500</v>
      </c>
      <c r="D11" s="36">
        <f>ROUND(H11-('[6]REZERWA NA MIGRACJĘ'!$E$17-'[7]REZERWA NA MIGRACJĘ'!$E$17),0)</f>
        <v>38115</v>
      </c>
      <c r="E11" s="89">
        <f t="shared" si="0"/>
        <v>3615</v>
      </c>
      <c r="F11" s="90">
        <f t="shared" si="1"/>
        <v>1.1048</v>
      </c>
      <c r="H11" s="2">
        <v>38407</v>
      </c>
    </row>
    <row r="12" spans="1:8" ht="31.5" customHeight="1">
      <c r="A12" s="40" t="s">
        <v>4</v>
      </c>
      <c r="B12" s="102" t="s">
        <v>173</v>
      </c>
      <c r="C12" s="111">
        <v>62200</v>
      </c>
      <c r="D12" s="36">
        <f>ROUND(H12-('[6]REZERWA NA MIGRACJĘ'!$F$17-'[7]REZERWA NA MIGRACJĘ'!$F$17),0)</f>
        <v>60861</v>
      </c>
      <c r="E12" s="89">
        <f t="shared" si="0"/>
        <v>-1339</v>
      </c>
      <c r="F12" s="90">
        <f t="shared" si="1"/>
        <v>0.9785</v>
      </c>
      <c r="H12" s="2">
        <v>60881</v>
      </c>
    </row>
    <row r="13" spans="1:8" ht="31.5" customHeight="1">
      <c r="A13" s="40" t="s">
        <v>5</v>
      </c>
      <c r="B13" s="102" t="s">
        <v>168</v>
      </c>
      <c r="C13" s="111">
        <v>36700</v>
      </c>
      <c r="D13" s="36">
        <f>ROUND(H13-('[6]REZERWA NA MIGRACJĘ'!$G$17-'[7]REZERWA NA MIGRACJĘ'!$G$17),0)</f>
        <v>35770</v>
      </c>
      <c r="E13" s="89">
        <f t="shared" si="0"/>
        <v>-930</v>
      </c>
      <c r="F13" s="90">
        <f t="shared" si="1"/>
        <v>0.9747</v>
      </c>
      <c r="H13" s="2">
        <v>36041</v>
      </c>
    </row>
    <row r="14" spans="1:8" ht="31.5" customHeight="1">
      <c r="A14" s="40" t="s">
        <v>6</v>
      </c>
      <c r="B14" s="102" t="s">
        <v>177</v>
      </c>
      <c r="C14" s="111">
        <v>24220</v>
      </c>
      <c r="D14" s="36">
        <f>ROUND(H14-('[6]REZERWA NA MIGRACJĘ'!$H$17-'[7]REZERWA NA MIGRACJĘ'!$H$17),0)</f>
        <v>20940</v>
      </c>
      <c r="E14" s="89">
        <f t="shared" si="0"/>
        <v>-3280</v>
      </c>
      <c r="F14" s="90">
        <f t="shared" si="1"/>
        <v>0.8646</v>
      </c>
      <c r="H14" s="2">
        <v>20972</v>
      </c>
    </row>
    <row r="15" spans="1:8" ht="31.5" customHeight="1">
      <c r="A15" s="40" t="s">
        <v>7</v>
      </c>
      <c r="B15" s="102" t="s">
        <v>176</v>
      </c>
      <c r="C15" s="111">
        <v>7700</v>
      </c>
      <c r="D15" s="36">
        <f>ROUND(H15-('[6]REZERWA NA MIGRACJĘ'!$I$17-'[7]REZERWA NA MIGRACJĘ'!$I$17),0)</f>
        <v>7366</v>
      </c>
      <c r="E15" s="89">
        <f>IF(C15=D15,"-",D15-C15)</f>
        <v>-334</v>
      </c>
      <c r="F15" s="90">
        <f>IF(C15=0,"-",D15/C15)</f>
        <v>0.9566</v>
      </c>
      <c r="H15" s="2">
        <v>7363</v>
      </c>
    </row>
    <row r="16" spans="1:8" ht="31.5" customHeight="1">
      <c r="A16" s="40" t="s">
        <v>8</v>
      </c>
      <c r="B16" s="102" t="s">
        <v>169</v>
      </c>
      <c r="C16" s="111">
        <v>60920</v>
      </c>
      <c r="D16" s="36">
        <f>ROUND(H16-('[6]REZERWA NA MIGRACJĘ'!$J17-'[7]REZERWA NA MIGRACJĘ'!$J$17),0)</f>
        <v>60895</v>
      </c>
      <c r="E16" s="89">
        <f t="shared" si="0"/>
        <v>-25</v>
      </c>
      <c r="F16" s="90">
        <f t="shared" si="1"/>
        <v>0.9996</v>
      </c>
      <c r="H16" s="2">
        <v>61113</v>
      </c>
    </row>
    <row r="17" spans="1:8" ht="31.5" customHeight="1">
      <c r="A17" s="40" t="s">
        <v>9</v>
      </c>
      <c r="B17" s="102" t="s">
        <v>170</v>
      </c>
      <c r="C17" s="111">
        <v>19400</v>
      </c>
      <c r="D17" s="36">
        <f>ROUND(H17,0)</f>
        <v>19400</v>
      </c>
      <c r="E17" s="89" t="str">
        <f t="shared" si="0"/>
        <v>-</v>
      </c>
      <c r="F17" s="90">
        <f t="shared" si="1"/>
        <v>1</v>
      </c>
      <c r="H17" s="2">
        <v>19400</v>
      </c>
    </row>
    <row r="18" spans="1:8" ht="31.5" customHeight="1">
      <c r="A18" s="40" t="s">
        <v>10</v>
      </c>
      <c r="B18" s="102" t="s">
        <v>178</v>
      </c>
      <c r="C18" s="111">
        <v>1200</v>
      </c>
      <c r="D18" s="36">
        <f>ROUND(H18,0)</f>
        <v>1200</v>
      </c>
      <c r="E18" s="89" t="str">
        <f t="shared" si="0"/>
        <v>-</v>
      </c>
      <c r="F18" s="90">
        <f t="shared" si="1"/>
        <v>1</v>
      </c>
      <c r="H18" s="2">
        <v>1200</v>
      </c>
    </row>
    <row r="19" spans="1:8" ht="46.5" customHeight="1">
      <c r="A19" s="40" t="s">
        <v>11</v>
      </c>
      <c r="B19" s="102" t="s">
        <v>171</v>
      </c>
      <c r="C19" s="111">
        <v>4240</v>
      </c>
      <c r="D19" s="36">
        <f>ROUND(H19-('[6]REZERWA NA MIGRACJĘ'!$K$17-'[7]REZERWA NA MIGRACJĘ'!$K$17),0)</f>
        <v>4213</v>
      </c>
      <c r="E19" s="89">
        <f t="shared" si="0"/>
        <v>-27</v>
      </c>
      <c r="F19" s="90">
        <f t="shared" si="1"/>
        <v>0.9936</v>
      </c>
      <c r="H19" s="2">
        <v>4227</v>
      </c>
    </row>
    <row r="20" spans="1:8" ht="31.5" customHeight="1">
      <c r="A20" s="40" t="s">
        <v>12</v>
      </c>
      <c r="B20" s="102" t="s">
        <v>172</v>
      </c>
      <c r="C20" s="111">
        <v>31068</v>
      </c>
      <c r="D20" s="36">
        <f>ROUND(H20-('[6]REZERWA NA MIGRACJĘ'!$L$17-'[7]REZERWA NA MIGRACJĘ'!$L$17),0)</f>
        <v>27802</v>
      </c>
      <c r="E20" s="89">
        <f t="shared" si="0"/>
        <v>-3266</v>
      </c>
      <c r="F20" s="90">
        <f t="shared" si="1"/>
        <v>0.8949</v>
      </c>
      <c r="H20" s="2">
        <v>28276</v>
      </c>
    </row>
    <row r="21" spans="1:8" ht="31.5" customHeight="1">
      <c r="A21" s="40" t="s">
        <v>14</v>
      </c>
      <c r="B21" s="46" t="s">
        <v>13</v>
      </c>
      <c r="C21" s="111">
        <v>17650</v>
      </c>
      <c r="D21" s="36">
        <f>H21</f>
        <v>17650</v>
      </c>
      <c r="E21" s="89" t="str">
        <f t="shared" si="0"/>
        <v>-</v>
      </c>
      <c r="F21" s="90">
        <f t="shared" si="1"/>
        <v>1</v>
      </c>
      <c r="H21" s="2">
        <v>17650</v>
      </c>
    </row>
    <row r="22" spans="1:8" ht="31.5" customHeight="1">
      <c r="A22" s="41" t="s">
        <v>15</v>
      </c>
      <c r="B22" s="102" t="s">
        <v>174</v>
      </c>
      <c r="C22" s="111">
        <v>229173</v>
      </c>
      <c r="D22" s="36">
        <f>H22-28250</f>
        <v>208054</v>
      </c>
      <c r="E22" s="89">
        <f t="shared" si="0"/>
        <v>-21119</v>
      </c>
      <c r="F22" s="90">
        <f t="shared" si="1"/>
        <v>0.9078</v>
      </c>
      <c r="H22" s="2">
        <v>236304</v>
      </c>
    </row>
    <row r="23" spans="1:8" ht="31.5" customHeight="1">
      <c r="A23" s="39" t="s">
        <v>179</v>
      </c>
      <c r="B23" s="45" t="s">
        <v>66</v>
      </c>
      <c r="C23" s="111">
        <v>1400</v>
      </c>
      <c r="D23" s="36">
        <f>H23</f>
        <v>1400</v>
      </c>
      <c r="E23" s="89" t="str">
        <f t="shared" si="0"/>
        <v>-</v>
      </c>
      <c r="F23" s="90">
        <f t="shared" si="1"/>
        <v>1</v>
      </c>
      <c r="H23" s="2">
        <v>1400</v>
      </c>
    </row>
    <row r="24" spans="1:8" ht="33" customHeight="1">
      <c r="A24" s="42" t="s">
        <v>16</v>
      </c>
      <c r="B24" s="47" t="s">
        <v>140</v>
      </c>
      <c r="C24" s="111">
        <v>0</v>
      </c>
      <c r="D24" s="36">
        <f>H24</f>
        <v>0</v>
      </c>
      <c r="E24" s="89" t="str">
        <f>IF(C24=D24,"-",D24-C24)</f>
        <v>-</v>
      </c>
      <c r="F24" s="90" t="str">
        <f>IF(C24=0,"-",D24/C24)</f>
        <v>-</v>
      </c>
      <c r="H24" s="2">
        <v>0</v>
      </c>
    </row>
    <row r="25" spans="1:8" ht="33" customHeight="1">
      <c r="A25" s="42" t="s">
        <v>137</v>
      </c>
      <c r="B25" s="48" t="s">
        <v>60</v>
      </c>
      <c r="C25" s="111">
        <v>0</v>
      </c>
      <c r="D25" s="36">
        <f>H25</f>
        <v>0</v>
      </c>
      <c r="E25" s="89" t="str">
        <f>IF(C25=D25,"-",D25-C25)</f>
        <v>-</v>
      </c>
      <c r="F25" s="90" t="str">
        <f>IF(C25=0,"-",D25/C25)</f>
        <v>-</v>
      </c>
      <c r="H25" s="2">
        <v>0</v>
      </c>
    </row>
    <row r="26" spans="1:8" ht="33" customHeight="1">
      <c r="A26" s="42" t="s">
        <v>138</v>
      </c>
      <c r="B26" s="48" t="s">
        <v>141</v>
      </c>
      <c r="C26" s="111">
        <v>68841</v>
      </c>
      <c r="D26" s="36">
        <f>ROUND('[6]REZERWA NA MIGRACJĘ'!$B$17,0)</f>
        <v>91495</v>
      </c>
      <c r="E26" s="89">
        <f>IF(C26=D26,"-",D26-C26)</f>
        <v>22654</v>
      </c>
      <c r="F26" s="90">
        <f>IF(C26=0,"-",D26/C26)</f>
        <v>1.3291</v>
      </c>
      <c r="H26" s="2">
        <v>83189</v>
      </c>
    </row>
    <row r="27" spans="1:8" ht="33" customHeight="1">
      <c r="A27" s="42" t="s">
        <v>139</v>
      </c>
      <c r="B27" s="48" t="s">
        <v>142</v>
      </c>
      <c r="C27" s="111">
        <v>200</v>
      </c>
      <c r="D27" s="36">
        <f>ROUND(H27-('[6]REZERWA NA MIGRACJĘ'!$M$17-'[7]REZERWA NA MIGRACJĘ'!$M$17),0)</f>
        <v>234</v>
      </c>
      <c r="E27" s="89">
        <f>IF(C27=D27,"-",D27-C27)</f>
        <v>34</v>
      </c>
      <c r="F27" s="90">
        <f>IF(C27=0,"-",D27/C27)</f>
        <v>1.17</v>
      </c>
      <c r="H27" s="2">
        <v>200</v>
      </c>
    </row>
    <row r="28" spans="1:6" s="5" customFormat="1" ht="31.5" customHeight="1">
      <c r="A28" s="43" t="s">
        <v>68</v>
      </c>
      <c r="B28" s="49" t="s">
        <v>69</v>
      </c>
      <c r="C28" s="112">
        <v>0</v>
      </c>
      <c r="D28" s="119">
        <f>C28</f>
        <v>0</v>
      </c>
      <c r="E28" s="15" t="str">
        <f t="shared" si="0"/>
        <v>-</v>
      </c>
      <c r="F28" s="120" t="str">
        <f t="shared" si="1"/>
        <v>-</v>
      </c>
    </row>
    <row r="29" spans="1:6" s="5" customFormat="1" ht="31.5" customHeight="1">
      <c r="A29" s="43" t="s">
        <v>67</v>
      </c>
      <c r="B29" s="49" t="s">
        <v>70</v>
      </c>
      <c r="C29" s="112">
        <v>63855</v>
      </c>
      <c r="D29" s="119">
        <f>C29</f>
        <v>63855</v>
      </c>
      <c r="E29" s="15" t="str">
        <f t="shared" si="0"/>
        <v>-</v>
      </c>
      <c r="F29" s="120">
        <f t="shared" si="1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14259</v>
      </c>
      <c r="D30" s="34">
        <f>D31+D32+D33+D41+D42+D48+D49+D50+D47</f>
        <v>14259</v>
      </c>
      <c r="E30" s="13" t="str">
        <f>IF(C30=D30,"-",D30-C30)</f>
        <v>-</v>
      </c>
      <c r="F30" s="91">
        <f t="shared" si="1"/>
        <v>1</v>
      </c>
    </row>
    <row r="31" spans="1:6" ht="28.5" customHeight="1">
      <c r="A31" s="42" t="s">
        <v>19</v>
      </c>
      <c r="B31" s="51" t="s">
        <v>20</v>
      </c>
      <c r="C31" s="94">
        <v>558</v>
      </c>
      <c r="D31" s="35">
        <f>C31</f>
        <v>558</v>
      </c>
      <c r="E31" s="89" t="str">
        <f aca="true" t="shared" si="2" ref="E31:E51">IF(C31=D31,"-",D31-C31)</f>
        <v>-</v>
      </c>
      <c r="F31" s="90">
        <f t="shared" si="1"/>
        <v>1</v>
      </c>
    </row>
    <row r="32" spans="1:6" ht="28.5" customHeight="1">
      <c r="A32" s="42" t="s">
        <v>21</v>
      </c>
      <c r="B32" s="51" t="s">
        <v>22</v>
      </c>
      <c r="C32" s="94">
        <v>913</v>
      </c>
      <c r="D32" s="35">
        <f>C32</f>
        <v>913</v>
      </c>
      <c r="E32" s="89" t="str">
        <f t="shared" si="2"/>
        <v>-</v>
      </c>
      <c r="F32" s="90">
        <f t="shared" si="1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186</v>
      </c>
      <c r="D33" s="35">
        <f>D34+D36+D37+D38+D39+D40</f>
        <v>186</v>
      </c>
      <c r="E33" s="89" t="str">
        <f t="shared" si="2"/>
        <v>-</v>
      </c>
      <c r="F33" s="90">
        <f t="shared" si="1"/>
        <v>1</v>
      </c>
    </row>
    <row r="34" spans="1:6" ht="28.5" customHeight="1">
      <c r="A34" s="53" t="s">
        <v>45</v>
      </c>
      <c r="B34" s="54" t="s">
        <v>38</v>
      </c>
      <c r="C34" s="94">
        <v>15</v>
      </c>
      <c r="D34" s="35">
        <f>C34</f>
        <v>15</v>
      </c>
      <c r="E34" s="89" t="str">
        <f t="shared" si="2"/>
        <v>-</v>
      </c>
      <c r="F34" s="90">
        <f t="shared" si="1"/>
        <v>1</v>
      </c>
    </row>
    <row r="35" spans="1:6" ht="28.5" customHeight="1">
      <c r="A35" s="53" t="s">
        <v>46</v>
      </c>
      <c r="B35" s="55" t="s">
        <v>39</v>
      </c>
      <c r="C35" s="94">
        <v>15</v>
      </c>
      <c r="D35" s="35">
        <f aca="true" t="shared" si="3" ref="D35:D47">C35</f>
        <v>15</v>
      </c>
      <c r="E35" s="89" t="str">
        <f t="shared" si="2"/>
        <v>-</v>
      </c>
      <c r="F35" s="90">
        <f t="shared" si="1"/>
        <v>1</v>
      </c>
    </row>
    <row r="36" spans="1:6" ht="28.5" customHeight="1">
      <c r="A36" s="53" t="s">
        <v>47</v>
      </c>
      <c r="B36" s="54" t="s">
        <v>40</v>
      </c>
      <c r="C36" s="94">
        <v>32</v>
      </c>
      <c r="D36" s="35">
        <f>C36</f>
        <v>32</v>
      </c>
      <c r="E36" s="89" t="str">
        <f t="shared" si="2"/>
        <v>-</v>
      </c>
      <c r="F36" s="90">
        <f t="shared" si="1"/>
        <v>1</v>
      </c>
    </row>
    <row r="37" spans="1:6" ht="28.5" customHeight="1">
      <c r="A37" s="53" t="s">
        <v>48</v>
      </c>
      <c r="B37" s="54" t="s">
        <v>41</v>
      </c>
      <c r="C37" s="94">
        <v>0</v>
      </c>
      <c r="D37" s="35">
        <f t="shared" si="3"/>
        <v>0</v>
      </c>
      <c r="E37" s="89" t="str">
        <f t="shared" si="2"/>
        <v>-</v>
      </c>
      <c r="F37" s="90" t="str">
        <f t="shared" si="1"/>
        <v>-</v>
      </c>
    </row>
    <row r="38" spans="1:6" ht="28.5" customHeight="1">
      <c r="A38" s="53" t="s">
        <v>49</v>
      </c>
      <c r="B38" s="54" t="s">
        <v>42</v>
      </c>
      <c r="C38" s="94">
        <v>0</v>
      </c>
      <c r="D38" s="35">
        <f t="shared" si="3"/>
        <v>0</v>
      </c>
      <c r="E38" s="89" t="str">
        <f t="shared" si="2"/>
        <v>-</v>
      </c>
      <c r="F38" s="90" t="str">
        <f t="shared" si="1"/>
        <v>-</v>
      </c>
    </row>
    <row r="39" spans="1:6" ht="28.5" customHeight="1">
      <c r="A39" s="53" t="s">
        <v>50</v>
      </c>
      <c r="B39" s="54" t="s">
        <v>43</v>
      </c>
      <c r="C39" s="94">
        <v>134</v>
      </c>
      <c r="D39" s="35">
        <f>C39</f>
        <v>134</v>
      </c>
      <c r="E39" s="89" t="str">
        <f t="shared" si="2"/>
        <v>-</v>
      </c>
      <c r="F39" s="90">
        <f t="shared" si="1"/>
        <v>1</v>
      </c>
    </row>
    <row r="40" spans="1:6" ht="28.5" customHeight="1">
      <c r="A40" s="53" t="s">
        <v>51</v>
      </c>
      <c r="B40" s="54" t="s">
        <v>44</v>
      </c>
      <c r="C40" s="94">
        <v>5</v>
      </c>
      <c r="D40" s="35">
        <f t="shared" si="3"/>
        <v>5</v>
      </c>
      <c r="E40" s="89" t="str">
        <f t="shared" si="2"/>
        <v>-</v>
      </c>
      <c r="F40" s="90">
        <f t="shared" si="1"/>
        <v>1</v>
      </c>
    </row>
    <row r="41" spans="1:6" ht="28.5" customHeight="1">
      <c r="A41" s="42" t="s">
        <v>24</v>
      </c>
      <c r="B41" s="51" t="s">
        <v>25</v>
      </c>
      <c r="C41" s="35">
        <v>9054</v>
      </c>
      <c r="D41" s="35">
        <f t="shared" si="3"/>
        <v>9054</v>
      </c>
      <c r="E41" s="89" t="str">
        <f t="shared" si="2"/>
        <v>-</v>
      </c>
      <c r="F41" s="90">
        <f t="shared" si="1"/>
        <v>1</v>
      </c>
    </row>
    <row r="42" spans="1:6" ht="28.5" customHeight="1">
      <c r="A42" s="42" t="s">
        <v>26</v>
      </c>
      <c r="B42" s="52" t="s">
        <v>61</v>
      </c>
      <c r="C42" s="110">
        <f>C43+C44+C45+C46</f>
        <v>1833</v>
      </c>
      <c r="D42" s="35">
        <f>SUM(D43:D46)</f>
        <v>1833</v>
      </c>
      <c r="E42" s="89" t="str">
        <f t="shared" si="2"/>
        <v>-</v>
      </c>
      <c r="F42" s="90">
        <f t="shared" si="1"/>
        <v>1</v>
      </c>
    </row>
    <row r="43" spans="1:6" ht="28.5" customHeight="1">
      <c r="A43" s="53" t="s">
        <v>56</v>
      </c>
      <c r="B43" s="54" t="s">
        <v>52</v>
      </c>
      <c r="C43" s="35">
        <v>1375</v>
      </c>
      <c r="D43" s="35">
        <f>C43</f>
        <v>1375</v>
      </c>
      <c r="E43" s="89" t="str">
        <f t="shared" si="2"/>
        <v>-</v>
      </c>
      <c r="F43" s="90">
        <f t="shared" si="1"/>
        <v>1</v>
      </c>
    </row>
    <row r="44" spans="1:6" ht="28.5" customHeight="1">
      <c r="A44" s="53" t="s">
        <v>57</v>
      </c>
      <c r="B44" s="54" t="s">
        <v>53</v>
      </c>
      <c r="C44" s="35">
        <v>222</v>
      </c>
      <c r="D44" s="35">
        <f>C44</f>
        <v>222</v>
      </c>
      <c r="E44" s="89" t="str">
        <f t="shared" si="2"/>
        <v>-</v>
      </c>
      <c r="F44" s="90">
        <f t="shared" si="1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3"/>
        <v>0</v>
      </c>
      <c r="E45" s="89" t="str">
        <f t="shared" si="2"/>
        <v>-</v>
      </c>
      <c r="F45" s="90" t="str">
        <f t="shared" si="1"/>
        <v>-</v>
      </c>
    </row>
    <row r="46" spans="1:6" ht="28.5" customHeight="1">
      <c r="A46" s="53" t="s">
        <v>59</v>
      </c>
      <c r="B46" s="54" t="s">
        <v>55</v>
      </c>
      <c r="C46" s="35">
        <v>236</v>
      </c>
      <c r="D46" s="35">
        <f>C46</f>
        <v>236</v>
      </c>
      <c r="E46" s="89" t="str">
        <f t="shared" si="2"/>
        <v>-</v>
      </c>
      <c r="F46" s="90">
        <f t="shared" si="1"/>
        <v>1</v>
      </c>
    </row>
    <row r="47" spans="1:6" ht="28.5" customHeight="1">
      <c r="A47" s="42" t="s">
        <v>27</v>
      </c>
      <c r="B47" s="51" t="s">
        <v>28</v>
      </c>
      <c r="C47" s="94">
        <v>0</v>
      </c>
      <c r="D47" s="35">
        <f t="shared" si="3"/>
        <v>0</v>
      </c>
      <c r="E47" s="89" t="str">
        <f t="shared" si="2"/>
        <v>-</v>
      </c>
      <c r="F47" s="90" t="str">
        <f aca="true" t="shared" si="4" ref="F47:F55">IF(C47=0,"-",D47/C47)</f>
        <v>-</v>
      </c>
    </row>
    <row r="48" spans="1:6" ht="48" customHeight="1">
      <c r="A48" s="42" t="s">
        <v>29</v>
      </c>
      <c r="B48" s="51" t="s">
        <v>116</v>
      </c>
      <c r="C48" s="111">
        <v>1266</v>
      </c>
      <c r="D48" s="35">
        <f>C48</f>
        <v>1266</v>
      </c>
      <c r="E48" s="89" t="str">
        <f t="shared" si="2"/>
        <v>-</v>
      </c>
      <c r="F48" s="92">
        <f t="shared" si="4"/>
        <v>1</v>
      </c>
    </row>
    <row r="49" spans="1:6" ht="43.5" customHeight="1">
      <c r="A49" s="42" t="s">
        <v>30</v>
      </c>
      <c r="B49" s="51" t="s">
        <v>31</v>
      </c>
      <c r="C49" s="111">
        <v>227</v>
      </c>
      <c r="D49" s="35">
        <f>C49</f>
        <v>227</v>
      </c>
      <c r="E49" s="89" t="str">
        <f t="shared" si="2"/>
        <v>-</v>
      </c>
      <c r="F49" s="92">
        <f t="shared" si="4"/>
        <v>1</v>
      </c>
    </row>
    <row r="50" spans="1:6" ht="35.25" customHeight="1">
      <c r="A50" s="42" t="s">
        <v>32</v>
      </c>
      <c r="B50" s="51" t="s">
        <v>33</v>
      </c>
      <c r="C50" s="94">
        <v>222</v>
      </c>
      <c r="D50" s="35">
        <f>C50</f>
        <v>222</v>
      </c>
      <c r="E50" s="89" t="str">
        <f t="shared" si="2"/>
        <v>-</v>
      </c>
      <c r="F50" s="90">
        <f t="shared" si="4"/>
        <v>1</v>
      </c>
    </row>
    <row r="51" spans="1:6" s="3" customFormat="1" ht="30" customHeight="1">
      <c r="A51" s="44" t="s">
        <v>34</v>
      </c>
      <c r="B51" s="56" t="s">
        <v>175</v>
      </c>
      <c r="C51" s="38">
        <f>SUM(C52:C55)</f>
        <v>7121</v>
      </c>
      <c r="D51" s="38">
        <f>SUM(D52:D55)</f>
        <v>7121</v>
      </c>
      <c r="E51" s="13" t="str">
        <f t="shared" si="2"/>
        <v>-</v>
      </c>
      <c r="F51" s="93">
        <f t="shared" si="4"/>
        <v>1</v>
      </c>
    </row>
    <row r="52" spans="1:6" ht="42" customHeight="1">
      <c r="A52" s="42" t="s">
        <v>119</v>
      </c>
      <c r="B52" s="51" t="s">
        <v>144</v>
      </c>
      <c r="C52" s="94">
        <v>175</v>
      </c>
      <c r="D52" s="35">
        <f>C52</f>
        <v>175</v>
      </c>
      <c r="E52" s="94" t="str">
        <f>IF(C52=D52,"-",D52-C52)</f>
        <v>-</v>
      </c>
      <c r="F52" s="100">
        <f t="shared" si="4"/>
        <v>1</v>
      </c>
    </row>
    <row r="53" spans="1:6" ht="31.5" customHeight="1">
      <c r="A53" s="42" t="s">
        <v>35</v>
      </c>
      <c r="B53" s="51" t="s">
        <v>63</v>
      </c>
      <c r="C53" s="94">
        <v>6496</v>
      </c>
      <c r="D53" s="35">
        <f>C53</f>
        <v>6496</v>
      </c>
      <c r="E53" s="94" t="str">
        <f>IF(C53=D53,"-",D53-C53)</f>
        <v>-</v>
      </c>
      <c r="F53" s="100">
        <f t="shared" si="4"/>
        <v>1</v>
      </c>
    </row>
    <row r="54" spans="1:6" ht="31.5" customHeight="1">
      <c r="A54" s="42" t="s">
        <v>36</v>
      </c>
      <c r="B54" s="51" t="s">
        <v>121</v>
      </c>
      <c r="C54" s="94">
        <v>0</v>
      </c>
      <c r="D54" s="35">
        <f>C54</f>
        <v>0</v>
      </c>
      <c r="E54" s="94" t="str">
        <f>IF(C54=D54,"-",D54-C54)</f>
        <v>-</v>
      </c>
      <c r="F54" s="100" t="str">
        <f t="shared" si="4"/>
        <v>-</v>
      </c>
    </row>
    <row r="55" spans="1:6" ht="31.5" customHeight="1">
      <c r="A55" s="42" t="s">
        <v>120</v>
      </c>
      <c r="B55" s="51" t="s">
        <v>122</v>
      </c>
      <c r="C55" s="94">
        <v>450</v>
      </c>
      <c r="D55" s="35">
        <f>C55</f>
        <v>450</v>
      </c>
      <c r="E55" s="94" t="str">
        <f>IF(C55=D55,"-",D55-C55)</f>
        <v>-</v>
      </c>
      <c r="F55" s="100">
        <f t="shared" si="4"/>
        <v>1</v>
      </c>
    </row>
    <row r="56" spans="1:6" ht="32.25" customHeight="1">
      <c r="A56" s="44" t="s">
        <v>127</v>
      </c>
      <c r="B56" s="56" t="s">
        <v>155</v>
      </c>
      <c r="C56" s="113">
        <v>48</v>
      </c>
      <c r="D56" s="38">
        <f>C56</f>
        <v>48</v>
      </c>
      <c r="E56" s="13" t="str">
        <f>IF(C56=D56,"-",D56-C56)</f>
        <v>-</v>
      </c>
      <c r="F56" s="93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91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G1" sqref="G1:AA16384"/>
      <selection pane="topRight" activeCell="G1" sqref="G1:AA16384"/>
      <selection pane="bottomLeft" activeCell="G1" sqref="G1:AA16384"/>
      <selection pane="bottomRight" activeCell="G1" sqref="G1:AA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8" width="0" style="2" hidden="1" customWidth="1"/>
    <col min="9" max="9" width="15.125" style="2" hidden="1" customWidth="1"/>
    <col min="10" max="27" width="0" style="2" hidden="1" customWidth="1"/>
    <col min="28" max="16384" width="9.125" style="2" customWidth="1"/>
  </cols>
  <sheetData>
    <row r="1" spans="1:6" s="59" customFormat="1" ht="38.25" customHeight="1">
      <c r="A1" s="129" t="str">
        <f>NFZ!A1</f>
        <v>ZMIANA PLANU FINANSOWEGO NARODOWEGO FUNDUSZU ZDROWIA NA 2010 ROK Z 16 GRUDNIA 2009 ROKU</v>
      </c>
      <c r="B1" s="129"/>
      <c r="C1" s="129"/>
      <c r="D1" s="129"/>
      <c r="E1" s="129"/>
      <c r="F1" s="129"/>
    </row>
    <row r="2" spans="1:3" s="61" customFormat="1" ht="33" customHeight="1">
      <c r="A2" s="130" t="s">
        <v>81</v>
      </c>
      <c r="B2" s="130"/>
      <c r="C2" s="130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140" s="6" customFormat="1" ht="33" customHeight="1">
      <c r="A4" s="132" t="s">
        <v>165</v>
      </c>
      <c r="B4" s="131" t="s">
        <v>62</v>
      </c>
      <c r="C4" s="127" t="s">
        <v>202</v>
      </c>
      <c r="D4" s="124" t="s">
        <v>159</v>
      </c>
      <c r="E4" s="126" t="s">
        <v>164</v>
      </c>
      <c r="F4" s="126" t="s">
        <v>163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</row>
    <row r="5" spans="1:140" s="6" customFormat="1" ht="33" customHeight="1">
      <c r="A5" s="131"/>
      <c r="B5" s="131"/>
      <c r="C5" s="128"/>
      <c r="D5" s="125"/>
      <c r="E5" s="126"/>
      <c r="F5" s="126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</row>
    <row r="6" spans="1:140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</row>
    <row r="7" spans="1:140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3159038</v>
      </c>
      <c r="D7" s="16">
        <f>D8+D9+D10+D12+D13+D14+D15+D16+D17+D18+D19+D20+D21+D22+D24+D25+D26+D27</f>
        <v>3167418</v>
      </c>
      <c r="E7" s="13">
        <f>IF(C7=D7,"-",D7-C7)</f>
        <v>8380</v>
      </c>
      <c r="F7" s="88">
        <f>IF(C7=0,"-",D7/C7)</f>
        <v>1.003</v>
      </c>
      <c r="G7" s="2"/>
      <c r="H7" s="106">
        <v>3167418</v>
      </c>
      <c r="I7" s="16">
        <f>D7-H7</f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</row>
    <row r="8" spans="1:8" ht="31.5" customHeight="1">
      <c r="A8" s="40" t="s">
        <v>1</v>
      </c>
      <c r="B8" s="102" t="s">
        <v>166</v>
      </c>
      <c r="C8" s="111">
        <v>416820</v>
      </c>
      <c r="D8" s="36">
        <f>H8</f>
        <v>412820</v>
      </c>
      <c r="E8" s="89">
        <f aca="true" t="shared" si="0" ref="E8:E29">IF(C8=D8,"-",D8-C8)</f>
        <v>-4000</v>
      </c>
      <c r="F8" s="90">
        <f aca="true" t="shared" si="1" ref="F8:F46">IF(C8=0,"-",D8/C8)</f>
        <v>0.9904</v>
      </c>
      <c r="H8" s="106">
        <v>412820</v>
      </c>
    </row>
    <row r="9" spans="1:8" ht="31.5" customHeight="1">
      <c r="A9" s="40" t="s">
        <v>2</v>
      </c>
      <c r="B9" s="102" t="s">
        <v>167</v>
      </c>
      <c r="C9" s="111">
        <v>260042</v>
      </c>
      <c r="D9" s="36">
        <f>ROUND(H9-('[6]REZERWA NA MIGRACJĘ'!$C$18-'[7]REZERWA NA MIGRACJĘ'!$C$18),0)</f>
        <v>265173</v>
      </c>
      <c r="E9" s="89">
        <f t="shared" si="0"/>
        <v>5131</v>
      </c>
      <c r="F9" s="90">
        <f t="shared" si="1"/>
        <v>1.0197</v>
      </c>
      <c r="H9" s="106">
        <v>265281</v>
      </c>
    </row>
    <row r="10" spans="1:8" ht="31.5" customHeight="1">
      <c r="A10" s="40" t="s">
        <v>3</v>
      </c>
      <c r="B10" s="102" t="s">
        <v>158</v>
      </c>
      <c r="C10" s="111">
        <v>1390078</v>
      </c>
      <c r="D10" s="36">
        <f>ROUND(H10-('[6]REZERWA NA MIGRACJĘ'!$D$18-'[7]REZERWA NA MIGRACJĘ'!$D$18),0)</f>
        <v>1380109</v>
      </c>
      <c r="E10" s="89">
        <f t="shared" si="0"/>
        <v>-9969</v>
      </c>
      <c r="F10" s="90">
        <f t="shared" si="1"/>
        <v>0.9928</v>
      </c>
      <c r="H10" s="106">
        <v>1383137</v>
      </c>
    </row>
    <row r="11" spans="1:8" ht="31.5" customHeight="1">
      <c r="A11" s="103" t="s">
        <v>64</v>
      </c>
      <c r="B11" s="45" t="s">
        <v>65</v>
      </c>
      <c r="C11" s="111">
        <v>59000</v>
      </c>
      <c r="D11" s="36">
        <f>ROUND(H11-('[6]REZERWA NA MIGRACJĘ'!$E$18-'[7]REZERWA NA MIGRACJĘ'!$E$18),0)</f>
        <v>64656</v>
      </c>
      <c r="E11" s="89">
        <f t="shared" si="0"/>
        <v>5656</v>
      </c>
      <c r="F11" s="90">
        <f t="shared" si="1"/>
        <v>1.0959</v>
      </c>
      <c r="H11" s="106">
        <v>65000</v>
      </c>
    </row>
    <row r="12" spans="1:8" ht="31.5" customHeight="1">
      <c r="A12" s="40" t="s">
        <v>4</v>
      </c>
      <c r="B12" s="102" t="s">
        <v>173</v>
      </c>
      <c r="C12" s="111">
        <v>116700</v>
      </c>
      <c r="D12" s="36">
        <f>ROUND(H12-('[6]REZERWA NA MIGRACJĘ'!$F$18-'[7]REZERWA NA MIGRACJĘ'!$F$18),0)</f>
        <v>117648</v>
      </c>
      <c r="E12" s="89">
        <f t="shared" si="0"/>
        <v>948</v>
      </c>
      <c r="F12" s="90">
        <f t="shared" si="1"/>
        <v>1.0081</v>
      </c>
      <c r="H12" s="106">
        <v>117600</v>
      </c>
    </row>
    <row r="13" spans="1:8" ht="31.5" customHeight="1">
      <c r="A13" s="40" t="s">
        <v>5</v>
      </c>
      <c r="B13" s="102" t="s">
        <v>168</v>
      </c>
      <c r="C13" s="111">
        <v>80189</v>
      </c>
      <c r="D13" s="36">
        <f>ROUND(H13-('[6]REZERWA NA MIGRACJĘ'!$G$18-'[7]REZERWA NA MIGRACJĘ'!$G$18),0)</f>
        <v>82228</v>
      </c>
      <c r="E13" s="89">
        <f t="shared" si="0"/>
        <v>2039</v>
      </c>
      <c r="F13" s="90">
        <f t="shared" si="1"/>
        <v>1.0254</v>
      </c>
      <c r="H13" s="106">
        <v>82189</v>
      </c>
    </row>
    <row r="14" spans="1:8" ht="31.5" customHeight="1">
      <c r="A14" s="40" t="s">
        <v>6</v>
      </c>
      <c r="B14" s="102" t="s">
        <v>177</v>
      </c>
      <c r="C14" s="111">
        <v>31300</v>
      </c>
      <c r="D14" s="36">
        <f>ROUND(H14-('[6]REZERWA NA MIGRACJĘ'!$H$18-'[7]REZERWA NA MIGRACJĘ'!$H$18),0)</f>
        <v>30314</v>
      </c>
      <c r="E14" s="89">
        <f t="shared" si="0"/>
        <v>-986</v>
      </c>
      <c r="F14" s="90">
        <f t="shared" si="1"/>
        <v>0.9685</v>
      </c>
      <c r="H14" s="106">
        <v>30300</v>
      </c>
    </row>
    <row r="15" spans="1:8" ht="31.5" customHeight="1">
      <c r="A15" s="40" t="s">
        <v>7</v>
      </c>
      <c r="B15" s="102" t="s">
        <v>176</v>
      </c>
      <c r="C15" s="111">
        <v>15000</v>
      </c>
      <c r="D15" s="36">
        <f>ROUND(H15-('[6]REZERWA NA MIGRACJĘ'!$I$18-'[7]REZERWA NA MIGRACJĘ'!$I$18),0)</f>
        <v>17951</v>
      </c>
      <c r="E15" s="89">
        <f>IF(C15=D15,"-",D15-C15)</f>
        <v>2951</v>
      </c>
      <c r="F15" s="90">
        <f>IF(C15=0,"-",D15/C15)</f>
        <v>1.1967</v>
      </c>
      <c r="H15" s="106">
        <v>18000</v>
      </c>
    </row>
    <row r="16" spans="1:8" ht="31.5" customHeight="1">
      <c r="A16" s="40" t="s">
        <v>8</v>
      </c>
      <c r="B16" s="102" t="s">
        <v>169</v>
      </c>
      <c r="C16" s="111">
        <v>105031</v>
      </c>
      <c r="D16" s="36">
        <f>ROUND(H16-('[6]REZERWA NA MIGRACJĘ'!$J18-'[7]REZERWA NA MIGRACJĘ'!$J$18),0)</f>
        <v>102023</v>
      </c>
      <c r="E16" s="89">
        <f t="shared" si="0"/>
        <v>-3008</v>
      </c>
      <c r="F16" s="90">
        <f t="shared" si="1"/>
        <v>0.9714</v>
      </c>
      <c r="H16" s="106">
        <v>102130</v>
      </c>
    </row>
    <row r="17" spans="1:8" ht="31.5" customHeight="1">
      <c r="A17" s="40" t="s">
        <v>9</v>
      </c>
      <c r="B17" s="102" t="s">
        <v>170</v>
      </c>
      <c r="C17" s="111">
        <v>32641</v>
      </c>
      <c r="D17" s="36">
        <f>ROUND(H17,0)</f>
        <v>27000</v>
      </c>
      <c r="E17" s="89">
        <f t="shared" si="0"/>
        <v>-5641</v>
      </c>
      <c r="F17" s="90">
        <f t="shared" si="1"/>
        <v>0.8272</v>
      </c>
      <c r="H17" s="106">
        <v>27000</v>
      </c>
    </row>
    <row r="18" spans="1:8" ht="31.5" customHeight="1">
      <c r="A18" s="40" t="s">
        <v>10</v>
      </c>
      <c r="B18" s="102" t="s">
        <v>178</v>
      </c>
      <c r="C18" s="111">
        <v>1459</v>
      </c>
      <c r="D18" s="36">
        <f>ROUND(H18,0)</f>
        <v>1187</v>
      </c>
      <c r="E18" s="89">
        <f t="shared" si="0"/>
        <v>-272</v>
      </c>
      <c r="F18" s="90">
        <f t="shared" si="1"/>
        <v>0.8136</v>
      </c>
      <c r="H18" s="106">
        <v>1187</v>
      </c>
    </row>
    <row r="19" spans="1:8" ht="46.5" customHeight="1">
      <c r="A19" s="40" t="s">
        <v>11</v>
      </c>
      <c r="B19" s="102" t="s">
        <v>171</v>
      </c>
      <c r="C19" s="111">
        <v>8000</v>
      </c>
      <c r="D19" s="36">
        <f>ROUND(H19-('[6]REZERWA NA MIGRACJĘ'!$K$18-'[7]REZERWA NA MIGRACJĘ'!$K$18),0)</f>
        <v>8001</v>
      </c>
      <c r="E19" s="89">
        <f t="shared" si="0"/>
        <v>1</v>
      </c>
      <c r="F19" s="90">
        <f t="shared" si="1"/>
        <v>1.0001</v>
      </c>
      <c r="H19" s="106">
        <v>8000</v>
      </c>
    </row>
    <row r="20" spans="1:8" ht="31.5" customHeight="1">
      <c r="A20" s="40" t="s">
        <v>12</v>
      </c>
      <c r="B20" s="102" t="s">
        <v>172</v>
      </c>
      <c r="C20" s="111">
        <v>79400</v>
      </c>
      <c r="D20" s="36">
        <f>ROUND(H20-('[6]REZERWA NA MIGRACJĘ'!$L$18-'[7]REZERWA NA MIGRACJĘ'!$L$18),0)</f>
        <v>76822</v>
      </c>
      <c r="E20" s="89">
        <f t="shared" si="0"/>
        <v>-2578</v>
      </c>
      <c r="F20" s="90">
        <f t="shared" si="1"/>
        <v>0.9675</v>
      </c>
      <c r="H20" s="106">
        <v>79400</v>
      </c>
    </row>
    <row r="21" spans="1:8" ht="31.5" customHeight="1">
      <c r="A21" s="40" t="s">
        <v>14</v>
      </c>
      <c r="B21" s="46" t="s">
        <v>13</v>
      </c>
      <c r="C21" s="111">
        <v>25308</v>
      </c>
      <c r="D21" s="36">
        <f>H21</f>
        <v>25308</v>
      </c>
      <c r="E21" s="89" t="str">
        <f t="shared" si="0"/>
        <v>-</v>
      </c>
      <c r="F21" s="90">
        <f t="shared" si="1"/>
        <v>1</v>
      </c>
      <c r="H21" s="106">
        <v>25308</v>
      </c>
    </row>
    <row r="22" spans="1:8" ht="31.5" customHeight="1">
      <c r="A22" s="41" t="s">
        <v>15</v>
      </c>
      <c r="B22" s="102" t="s">
        <v>174</v>
      </c>
      <c r="C22" s="111">
        <v>463969</v>
      </c>
      <c r="D22" s="36">
        <f>H22</f>
        <v>463969</v>
      </c>
      <c r="E22" s="89" t="str">
        <f t="shared" si="0"/>
        <v>-</v>
      </c>
      <c r="F22" s="90">
        <f t="shared" si="1"/>
        <v>1</v>
      </c>
      <c r="H22" s="106">
        <v>463969</v>
      </c>
    </row>
    <row r="23" spans="1:8" ht="31.5" customHeight="1">
      <c r="A23" s="39" t="s">
        <v>179</v>
      </c>
      <c r="B23" s="45" t="s">
        <v>66</v>
      </c>
      <c r="C23" s="111">
        <v>957</v>
      </c>
      <c r="D23" s="36">
        <f>H23</f>
        <v>957</v>
      </c>
      <c r="E23" s="89" t="str">
        <f t="shared" si="0"/>
        <v>-</v>
      </c>
      <c r="F23" s="90">
        <f t="shared" si="1"/>
        <v>1</v>
      </c>
      <c r="H23" s="106">
        <v>957</v>
      </c>
    </row>
    <row r="24" spans="1:8" ht="33" customHeight="1">
      <c r="A24" s="42" t="s">
        <v>16</v>
      </c>
      <c r="B24" s="47" t="s">
        <v>140</v>
      </c>
      <c r="C24" s="111">
        <v>0</v>
      </c>
      <c r="D24" s="36">
        <f>H24</f>
        <v>0</v>
      </c>
      <c r="E24" s="89" t="str">
        <f>IF(C24=D24,"-",D24-C24)</f>
        <v>-</v>
      </c>
      <c r="F24" s="90" t="str">
        <f>IF(C24=0,"-",D24/C24)</f>
        <v>-</v>
      </c>
      <c r="H24" s="106">
        <v>0</v>
      </c>
    </row>
    <row r="25" spans="1:8" ht="33" customHeight="1">
      <c r="A25" s="42" t="s">
        <v>137</v>
      </c>
      <c r="B25" s="48" t="s">
        <v>60</v>
      </c>
      <c r="C25" s="111">
        <v>0</v>
      </c>
      <c r="D25" s="36">
        <f>H25</f>
        <v>0</v>
      </c>
      <c r="E25" s="89" t="str">
        <f>IF(C25=D25,"-",D25-C25)</f>
        <v>-</v>
      </c>
      <c r="F25" s="90" t="str">
        <f>IF(C25=0,"-",D25/C25)</f>
        <v>-</v>
      </c>
      <c r="H25" s="106">
        <v>0</v>
      </c>
    </row>
    <row r="26" spans="1:8" ht="33" customHeight="1">
      <c r="A26" s="42" t="s">
        <v>138</v>
      </c>
      <c r="B26" s="48" t="s">
        <v>141</v>
      </c>
      <c r="C26" s="111">
        <v>132796</v>
      </c>
      <c r="D26" s="36">
        <f>ROUND('[6]REZERWA NA MIGRACJĘ'!$B$18,0)</f>
        <v>156537</v>
      </c>
      <c r="E26" s="89">
        <f>IF(C26=D26,"-",D26-C26)</f>
        <v>23741</v>
      </c>
      <c r="F26" s="90">
        <f>IF(C26=0,"-",D26/C26)</f>
        <v>1.1788</v>
      </c>
      <c r="H26" s="106">
        <v>150792</v>
      </c>
    </row>
    <row r="27" spans="1:8" ht="33" customHeight="1">
      <c r="A27" s="42" t="s">
        <v>139</v>
      </c>
      <c r="B27" s="48" t="s">
        <v>142</v>
      </c>
      <c r="C27" s="111">
        <v>305</v>
      </c>
      <c r="D27" s="36">
        <f>ROUND(H27-('[6]REZERWA NA MIGRACJĘ'!$M$18-'[7]REZERWA NA MIGRACJĘ'!$M$18),0)</f>
        <v>328</v>
      </c>
      <c r="E27" s="89">
        <f>IF(C27=D27,"-",D27-C27)</f>
        <v>23</v>
      </c>
      <c r="F27" s="90">
        <f>IF(C27=0,"-",D27/C27)</f>
        <v>1.0754</v>
      </c>
      <c r="H27" s="106">
        <v>305</v>
      </c>
    </row>
    <row r="28" spans="1:8" s="5" customFormat="1" ht="31.5" customHeight="1">
      <c r="A28" s="43" t="s">
        <v>68</v>
      </c>
      <c r="B28" s="49" t="s">
        <v>69</v>
      </c>
      <c r="C28" s="112">
        <v>0</v>
      </c>
      <c r="D28" s="119">
        <f>C28</f>
        <v>0</v>
      </c>
      <c r="E28" s="15" t="str">
        <f t="shared" si="0"/>
        <v>-</v>
      </c>
      <c r="F28" s="120" t="str">
        <f t="shared" si="1"/>
        <v>-</v>
      </c>
      <c r="H28" s="106"/>
    </row>
    <row r="29" spans="1:8" s="5" customFormat="1" ht="31.5" customHeight="1">
      <c r="A29" s="43" t="s">
        <v>67</v>
      </c>
      <c r="B29" s="49" t="s">
        <v>70</v>
      </c>
      <c r="C29" s="112">
        <v>96562</v>
      </c>
      <c r="D29" s="119">
        <f>C29</f>
        <v>96562</v>
      </c>
      <c r="E29" s="15" t="str">
        <f t="shared" si="0"/>
        <v>-</v>
      </c>
      <c r="F29" s="120">
        <f t="shared" si="1"/>
        <v>1</v>
      </c>
      <c r="H29" s="106"/>
    </row>
    <row r="30" spans="1:140" s="3" customFormat="1" ht="30" customHeight="1">
      <c r="A30" s="37" t="s">
        <v>17</v>
      </c>
      <c r="B30" s="57" t="s">
        <v>18</v>
      </c>
      <c r="C30" s="34">
        <f>C31+C32+C33+C41+C42+C48+C49+C50+C47</f>
        <v>29450</v>
      </c>
      <c r="D30" s="34">
        <f>D31+D32+D33+D41+D42+D48+D49+D50+D47</f>
        <v>29450</v>
      </c>
      <c r="E30" s="13" t="str">
        <f>IF(C30=D30,"-",D30-C30)</f>
        <v>-</v>
      </c>
      <c r="F30" s="91">
        <f t="shared" si="1"/>
        <v>1</v>
      </c>
      <c r="G30" s="2"/>
      <c r="H30" s="10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</row>
    <row r="31" spans="1:8" ht="28.5" customHeight="1">
      <c r="A31" s="42" t="s">
        <v>19</v>
      </c>
      <c r="B31" s="51" t="s">
        <v>20</v>
      </c>
      <c r="C31" s="94">
        <v>1250</v>
      </c>
      <c r="D31" s="35">
        <f>C31</f>
        <v>1250</v>
      </c>
      <c r="E31" s="89" t="str">
        <f aca="true" t="shared" si="2" ref="E31:E51">IF(C31=D31,"-",D31-C31)</f>
        <v>-</v>
      </c>
      <c r="F31" s="90">
        <f t="shared" si="1"/>
        <v>1</v>
      </c>
      <c r="H31" s="106"/>
    </row>
    <row r="32" spans="1:8" ht="28.5" customHeight="1">
      <c r="A32" s="42" t="s">
        <v>21</v>
      </c>
      <c r="B32" s="51" t="s">
        <v>22</v>
      </c>
      <c r="C32" s="94">
        <v>2992</v>
      </c>
      <c r="D32" s="35">
        <f>C32</f>
        <v>2992</v>
      </c>
      <c r="E32" s="89" t="str">
        <f t="shared" si="2"/>
        <v>-</v>
      </c>
      <c r="F32" s="90">
        <f t="shared" si="1"/>
        <v>1</v>
      </c>
      <c r="H32" s="106"/>
    </row>
    <row r="33" spans="1:8" ht="28.5" customHeight="1">
      <c r="A33" s="42" t="s">
        <v>23</v>
      </c>
      <c r="B33" s="52" t="s">
        <v>37</v>
      </c>
      <c r="C33" s="35">
        <f>C34+C36+C37+C38+C39+C40</f>
        <v>261</v>
      </c>
      <c r="D33" s="35">
        <f>D34+D36+D37+D38+D39+D40</f>
        <v>261</v>
      </c>
      <c r="E33" s="89" t="str">
        <f t="shared" si="2"/>
        <v>-</v>
      </c>
      <c r="F33" s="90">
        <f t="shared" si="1"/>
        <v>1</v>
      </c>
      <c r="H33" s="106"/>
    </row>
    <row r="34" spans="1:8" ht="28.5" customHeight="1">
      <c r="A34" s="53" t="s">
        <v>45</v>
      </c>
      <c r="B34" s="54" t="s">
        <v>38</v>
      </c>
      <c r="C34" s="94">
        <v>33</v>
      </c>
      <c r="D34" s="35">
        <f>C34</f>
        <v>33</v>
      </c>
      <c r="E34" s="89" t="str">
        <f t="shared" si="2"/>
        <v>-</v>
      </c>
      <c r="F34" s="90">
        <f t="shared" si="1"/>
        <v>1</v>
      </c>
      <c r="H34" s="106"/>
    </row>
    <row r="35" spans="1:8" ht="28.5" customHeight="1">
      <c r="A35" s="53" t="s">
        <v>46</v>
      </c>
      <c r="B35" s="55" t="s">
        <v>39</v>
      </c>
      <c r="C35" s="94">
        <v>33</v>
      </c>
      <c r="D35" s="35">
        <f aca="true" t="shared" si="3" ref="D35:D50">C35</f>
        <v>33</v>
      </c>
      <c r="E35" s="89" t="str">
        <f t="shared" si="2"/>
        <v>-</v>
      </c>
      <c r="F35" s="90">
        <f t="shared" si="1"/>
        <v>1</v>
      </c>
      <c r="H35" s="106"/>
    </row>
    <row r="36" spans="1:8" ht="28.5" customHeight="1">
      <c r="A36" s="53" t="s">
        <v>47</v>
      </c>
      <c r="B36" s="54" t="s">
        <v>40</v>
      </c>
      <c r="C36" s="94">
        <v>0</v>
      </c>
      <c r="D36" s="35">
        <f t="shared" si="3"/>
        <v>0</v>
      </c>
      <c r="E36" s="89" t="str">
        <f t="shared" si="2"/>
        <v>-</v>
      </c>
      <c r="F36" s="90" t="str">
        <f t="shared" si="1"/>
        <v>-</v>
      </c>
      <c r="H36" s="106"/>
    </row>
    <row r="37" spans="1:8" ht="28.5" customHeight="1">
      <c r="A37" s="53" t="s">
        <v>48</v>
      </c>
      <c r="B37" s="54" t="s">
        <v>41</v>
      </c>
      <c r="C37" s="94">
        <v>6</v>
      </c>
      <c r="D37" s="35">
        <f t="shared" si="3"/>
        <v>6</v>
      </c>
      <c r="E37" s="89" t="str">
        <f t="shared" si="2"/>
        <v>-</v>
      </c>
      <c r="F37" s="90">
        <f t="shared" si="1"/>
        <v>1</v>
      </c>
      <c r="H37" s="106"/>
    </row>
    <row r="38" spans="1:8" ht="28.5" customHeight="1">
      <c r="A38" s="53" t="s">
        <v>49</v>
      </c>
      <c r="B38" s="54" t="s">
        <v>42</v>
      </c>
      <c r="C38" s="94">
        <v>0</v>
      </c>
      <c r="D38" s="35">
        <f t="shared" si="3"/>
        <v>0</v>
      </c>
      <c r="E38" s="89" t="str">
        <f t="shared" si="2"/>
        <v>-</v>
      </c>
      <c r="F38" s="90" t="str">
        <f t="shared" si="1"/>
        <v>-</v>
      </c>
      <c r="H38" s="106"/>
    </row>
    <row r="39" spans="1:8" ht="28.5" customHeight="1">
      <c r="A39" s="53" t="s">
        <v>50</v>
      </c>
      <c r="B39" s="54" t="s">
        <v>43</v>
      </c>
      <c r="C39" s="94">
        <v>212</v>
      </c>
      <c r="D39" s="35">
        <f t="shared" si="3"/>
        <v>212</v>
      </c>
      <c r="E39" s="89" t="str">
        <f t="shared" si="2"/>
        <v>-</v>
      </c>
      <c r="F39" s="90">
        <f t="shared" si="1"/>
        <v>1</v>
      </c>
      <c r="H39" s="106"/>
    </row>
    <row r="40" spans="1:8" ht="28.5" customHeight="1">
      <c r="A40" s="53" t="s">
        <v>51</v>
      </c>
      <c r="B40" s="54" t="s">
        <v>44</v>
      </c>
      <c r="C40" s="94">
        <v>10</v>
      </c>
      <c r="D40" s="35">
        <f t="shared" si="3"/>
        <v>10</v>
      </c>
      <c r="E40" s="89" t="str">
        <f t="shared" si="2"/>
        <v>-</v>
      </c>
      <c r="F40" s="90">
        <f t="shared" si="1"/>
        <v>1</v>
      </c>
      <c r="H40" s="106"/>
    </row>
    <row r="41" spans="1:8" ht="28.5" customHeight="1">
      <c r="A41" s="42" t="s">
        <v>24</v>
      </c>
      <c r="B41" s="51" t="s">
        <v>25</v>
      </c>
      <c r="C41" s="35">
        <v>17671</v>
      </c>
      <c r="D41" s="35">
        <f t="shared" si="3"/>
        <v>17671</v>
      </c>
      <c r="E41" s="89" t="str">
        <f t="shared" si="2"/>
        <v>-</v>
      </c>
      <c r="F41" s="90">
        <f t="shared" si="1"/>
        <v>1</v>
      </c>
      <c r="H41" s="106"/>
    </row>
    <row r="42" spans="1:8" ht="28.5" customHeight="1">
      <c r="A42" s="42" t="s">
        <v>26</v>
      </c>
      <c r="B42" s="52" t="s">
        <v>61</v>
      </c>
      <c r="C42" s="110">
        <f>C43+C44+C45+C46</f>
        <v>3572</v>
      </c>
      <c r="D42" s="35">
        <f>SUM(D43:D46)</f>
        <v>3572</v>
      </c>
      <c r="E42" s="89" t="str">
        <f t="shared" si="2"/>
        <v>-</v>
      </c>
      <c r="F42" s="90">
        <f t="shared" si="1"/>
        <v>1</v>
      </c>
      <c r="H42" s="106"/>
    </row>
    <row r="43" spans="1:8" ht="28.5" customHeight="1">
      <c r="A43" s="53" t="s">
        <v>56</v>
      </c>
      <c r="B43" s="54" t="s">
        <v>52</v>
      </c>
      <c r="C43" s="35">
        <v>2684</v>
      </c>
      <c r="D43" s="35">
        <f>C43</f>
        <v>2684</v>
      </c>
      <c r="E43" s="89" t="str">
        <f t="shared" si="2"/>
        <v>-</v>
      </c>
      <c r="F43" s="90">
        <f t="shared" si="1"/>
        <v>1</v>
      </c>
      <c r="H43" s="106"/>
    </row>
    <row r="44" spans="1:8" ht="28.5" customHeight="1">
      <c r="A44" s="53" t="s">
        <v>57</v>
      </c>
      <c r="B44" s="54" t="s">
        <v>53</v>
      </c>
      <c r="C44" s="35">
        <v>433</v>
      </c>
      <c r="D44" s="35">
        <f>C44</f>
        <v>433</v>
      </c>
      <c r="E44" s="89" t="str">
        <f t="shared" si="2"/>
        <v>-</v>
      </c>
      <c r="F44" s="90">
        <f t="shared" si="1"/>
        <v>1</v>
      </c>
      <c r="H44" s="106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3"/>
        <v>0</v>
      </c>
      <c r="E45" s="89" t="str">
        <f t="shared" si="2"/>
        <v>-</v>
      </c>
      <c r="F45" s="90" t="str">
        <f t="shared" si="1"/>
        <v>-</v>
      </c>
      <c r="H45" s="106"/>
    </row>
    <row r="46" spans="1:8" ht="28.5" customHeight="1">
      <c r="A46" s="53" t="s">
        <v>59</v>
      </c>
      <c r="B46" s="54" t="s">
        <v>55</v>
      </c>
      <c r="C46" s="35">
        <v>455</v>
      </c>
      <c r="D46" s="35">
        <f t="shared" si="3"/>
        <v>455</v>
      </c>
      <c r="E46" s="89" t="str">
        <f t="shared" si="2"/>
        <v>-</v>
      </c>
      <c r="F46" s="90">
        <f t="shared" si="1"/>
        <v>1</v>
      </c>
      <c r="H46" s="106"/>
    </row>
    <row r="47" spans="1:8" ht="28.5" customHeight="1">
      <c r="A47" s="42" t="s">
        <v>27</v>
      </c>
      <c r="B47" s="51" t="s">
        <v>28</v>
      </c>
      <c r="C47" s="94">
        <v>0</v>
      </c>
      <c r="D47" s="35">
        <f t="shared" si="3"/>
        <v>0</v>
      </c>
      <c r="E47" s="89" t="str">
        <f t="shared" si="2"/>
        <v>-</v>
      </c>
      <c r="F47" s="90" t="str">
        <f aca="true" t="shared" si="4" ref="F47:F55">IF(C47=0,"-",D47/C47)</f>
        <v>-</v>
      </c>
      <c r="H47" s="106"/>
    </row>
    <row r="48" spans="1:8" ht="48" customHeight="1">
      <c r="A48" s="42" t="s">
        <v>29</v>
      </c>
      <c r="B48" s="51" t="s">
        <v>116</v>
      </c>
      <c r="C48" s="111">
        <v>3542</v>
      </c>
      <c r="D48" s="35">
        <f t="shared" si="3"/>
        <v>3542</v>
      </c>
      <c r="E48" s="89" t="str">
        <f t="shared" si="2"/>
        <v>-</v>
      </c>
      <c r="F48" s="92">
        <f t="shared" si="4"/>
        <v>1</v>
      </c>
      <c r="H48" s="106"/>
    </row>
    <row r="49" spans="1:8" ht="43.5" customHeight="1">
      <c r="A49" s="42" t="s">
        <v>30</v>
      </c>
      <c r="B49" s="51" t="s">
        <v>31</v>
      </c>
      <c r="C49" s="111">
        <v>0</v>
      </c>
      <c r="D49" s="35">
        <f t="shared" si="3"/>
        <v>0</v>
      </c>
      <c r="E49" s="89" t="str">
        <f t="shared" si="2"/>
        <v>-</v>
      </c>
      <c r="F49" s="92" t="str">
        <f t="shared" si="4"/>
        <v>-</v>
      </c>
      <c r="H49" s="106"/>
    </row>
    <row r="50" spans="1:8" ht="35.25" customHeight="1">
      <c r="A50" s="42" t="s">
        <v>32</v>
      </c>
      <c r="B50" s="51" t="s">
        <v>33</v>
      </c>
      <c r="C50" s="94">
        <v>162</v>
      </c>
      <c r="D50" s="35">
        <f t="shared" si="3"/>
        <v>162</v>
      </c>
      <c r="E50" s="89" t="str">
        <f t="shared" si="2"/>
        <v>-</v>
      </c>
      <c r="F50" s="90">
        <f t="shared" si="4"/>
        <v>1</v>
      </c>
      <c r="H50" s="106"/>
    </row>
    <row r="51" spans="1:140" s="3" customFormat="1" ht="30" customHeight="1">
      <c r="A51" s="44" t="s">
        <v>34</v>
      </c>
      <c r="B51" s="56" t="s">
        <v>175</v>
      </c>
      <c r="C51" s="38">
        <f>SUM(C52:C55)</f>
        <v>14214</v>
      </c>
      <c r="D51" s="38">
        <f>SUM(D52:D55)</f>
        <v>14214</v>
      </c>
      <c r="E51" s="13" t="str">
        <f t="shared" si="2"/>
        <v>-</v>
      </c>
      <c r="F51" s="93">
        <f t="shared" si="4"/>
        <v>1</v>
      </c>
      <c r="G51" s="2"/>
      <c r="H51" s="10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</row>
    <row r="52" spans="1:8" ht="42" customHeight="1">
      <c r="A52" s="42" t="s">
        <v>119</v>
      </c>
      <c r="B52" s="51" t="s">
        <v>144</v>
      </c>
      <c r="C52" s="94">
        <v>1161</v>
      </c>
      <c r="D52" s="35">
        <f>C52</f>
        <v>1161</v>
      </c>
      <c r="E52" s="94" t="str">
        <f>IF(C52=D52,"-",D52-C52)</f>
        <v>-</v>
      </c>
      <c r="F52" s="100">
        <f t="shared" si="4"/>
        <v>1</v>
      </c>
      <c r="H52" s="106"/>
    </row>
    <row r="53" spans="1:8" ht="31.5" customHeight="1">
      <c r="A53" s="42" t="s">
        <v>35</v>
      </c>
      <c r="B53" s="51" t="s">
        <v>63</v>
      </c>
      <c r="C53" s="94">
        <v>11453</v>
      </c>
      <c r="D53" s="35">
        <f>C53</f>
        <v>11453</v>
      </c>
      <c r="E53" s="94" t="str">
        <f>IF(C53=D53,"-",D53-C53)</f>
        <v>-</v>
      </c>
      <c r="F53" s="100">
        <f t="shared" si="4"/>
        <v>1</v>
      </c>
      <c r="H53" s="106"/>
    </row>
    <row r="54" spans="1:8" ht="31.5" customHeight="1">
      <c r="A54" s="42" t="s">
        <v>36</v>
      </c>
      <c r="B54" s="51" t="s">
        <v>121</v>
      </c>
      <c r="C54" s="94">
        <v>0</v>
      </c>
      <c r="D54" s="35">
        <f>C54</f>
        <v>0</v>
      </c>
      <c r="E54" s="94" t="str">
        <f>IF(C54=D54,"-",D54-C54)</f>
        <v>-</v>
      </c>
      <c r="F54" s="100" t="str">
        <f t="shared" si="4"/>
        <v>-</v>
      </c>
      <c r="H54" s="106"/>
    </row>
    <row r="55" spans="1:8" ht="31.5" customHeight="1">
      <c r="A55" s="42" t="s">
        <v>120</v>
      </c>
      <c r="B55" s="51" t="s">
        <v>122</v>
      </c>
      <c r="C55" s="94">
        <v>1600</v>
      </c>
      <c r="D55" s="35">
        <f>C55</f>
        <v>1600</v>
      </c>
      <c r="E55" s="94" t="str">
        <f>IF(C55=D55,"-",D55-C55)</f>
        <v>-</v>
      </c>
      <c r="F55" s="100">
        <f t="shared" si="4"/>
        <v>1</v>
      </c>
      <c r="H55" s="106"/>
    </row>
    <row r="56" spans="1:8" ht="32.25" customHeight="1">
      <c r="A56" s="44" t="s">
        <v>127</v>
      </c>
      <c r="B56" s="56" t="s">
        <v>155</v>
      </c>
      <c r="C56" s="113">
        <v>38</v>
      </c>
      <c r="D56" s="38">
        <f>C56</f>
        <v>38</v>
      </c>
      <c r="E56" s="13" t="str">
        <f>IF(C56=D56,"-",D56-C56)</f>
        <v>-</v>
      </c>
      <c r="F56" s="93">
        <f>IF(C56=0,"-",D56/C56)</f>
        <v>1</v>
      </c>
      <c r="H56" s="106"/>
    </row>
    <row r="57" ht="12.75">
      <c r="H57" s="106"/>
    </row>
    <row r="58" ht="12.75">
      <c r="H58" s="106"/>
    </row>
    <row r="59" ht="12.75">
      <c r="H59" s="106"/>
    </row>
    <row r="60" ht="12.75">
      <c r="H60" s="106"/>
    </row>
    <row r="61" ht="12.75">
      <c r="H61" s="106"/>
    </row>
    <row r="62" ht="12.75">
      <c r="H62" s="106"/>
    </row>
    <row r="63" ht="12.75">
      <c r="H63" s="106"/>
    </row>
    <row r="64" ht="12.75">
      <c r="H64" s="106"/>
    </row>
    <row r="65" ht="12.75">
      <c r="H65" s="106"/>
    </row>
    <row r="66" ht="12.75">
      <c r="H66" s="106"/>
    </row>
    <row r="67" ht="12.75">
      <c r="H67" s="106"/>
    </row>
    <row r="68" ht="12.75">
      <c r="H68" s="106"/>
    </row>
    <row r="69" ht="12.75">
      <c r="H69" s="106"/>
    </row>
    <row r="70" ht="12.75">
      <c r="H70" s="106"/>
    </row>
    <row r="71" ht="12.75">
      <c r="H71" s="106"/>
    </row>
    <row r="72" ht="12.75">
      <c r="H72" s="106"/>
    </row>
    <row r="73" ht="12.75">
      <c r="H73" s="106"/>
    </row>
    <row r="74" ht="12.75">
      <c r="H74" s="106"/>
    </row>
    <row r="75" ht="12.75">
      <c r="H75" s="106"/>
    </row>
    <row r="76" ht="12.75">
      <c r="H76" s="106"/>
    </row>
    <row r="77" ht="12.75">
      <c r="H77" s="106"/>
    </row>
    <row r="78" ht="12.75">
      <c r="H78" s="106"/>
    </row>
    <row r="79" ht="12.75">
      <c r="H79" s="106"/>
    </row>
    <row r="80" ht="12.75">
      <c r="H80" s="106"/>
    </row>
    <row r="81" ht="12.75">
      <c r="H81" s="106"/>
    </row>
    <row r="82" ht="12.75">
      <c r="H82" s="106"/>
    </row>
    <row r="83" ht="12.75">
      <c r="H83" s="106"/>
    </row>
    <row r="84" ht="12.75">
      <c r="H84" s="106"/>
    </row>
    <row r="85" ht="12.75">
      <c r="H85" s="106"/>
    </row>
    <row r="86" ht="12.75">
      <c r="H86" s="106"/>
    </row>
    <row r="87" ht="12.75">
      <c r="H87" s="106"/>
    </row>
    <row r="88" ht="12.75">
      <c r="H88" s="106"/>
    </row>
    <row r="89" ht="12.75">
      <c r="H89" s="106"/>
    </row>
    <row r="90" ht="12.75">
      <c r="H90" s="106"/>
    </row>
    <row r="91" ht="12.75">
      <c r="H91" s="106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G1" sqref="G1:AA16384"/>
      <selection pane="topRight" activeCell="G1" sqref="G1:AA16384"/>
      <selection pane="bottomLeft" activeCell="G1" sqref="G1:AA16384"/>
      <selection pane="bottomRight" activeCell="G1" sqref="G1:AA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8" width="0" style="2" hidden="1" customWidth="1"/>
    <col min="9" max="9" width="16.75390625" style="2" hidden="1" customWidth="1"/>
    <col min="10" max="27" width="0" style="2" hidden="1" customWidth="1"/>
    <col min="28" max="16384" width="9.125" style="2" customWidth="1"/>
  </cols>
  <sheetData>
    <row r="1" spans="1:6" s="59" customFormat="1" ht="38.25" customHeight="1">
      <c r="A1" s="129" t="str">
        <f>NFZ!A1</f>
        <v>ZMIANA PLANU FINANSOWEGO NARODOWEGO FUNDUSZU ZDROWIA NA 2010 ROK Z 16 GRUDNIA 2009 ROKU</v>
      </c>
      <c r="B1" s="129"/>
      <c r="C1" s="129"/>
      <c r="D1" s="129"/>
      <c r="E1" s="129"/>
      <c r="F1" s="129"/>
    </row>
    <row r="2" spans="1:3" s="61" customFormat="1" ht="33" customHeight="1">
      <c r="A2" s="130" t="s">
        <v>82</v>
      </c>
      <c r="B2" s="130"/>
      <c r="C2" s="130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2" t="s">
        <v>165</v>
      </c>
      <c r="B4" s="131" t="s">
        <v>62</v>
      </c>
      <c r="C4" s="127" t="s">
        <v>202</v>
      </c>
      <c r="D4" s="124" t="s">
        <v>159</v>
      </c>
      <c r="E4" s="126" t="s">
        <v>164</v>
      </c>
      <c r="F4" s="126" t="s">
        <v>163</v>
      </c>
    </row>
    <row r="5" spans="1:6" s="6" customFormat="1" ht="33" customHeight="1">
      <c r="A5" s="131"/>
      <c r="B5" s="131"/>
      <c r="C5" s="128"/>
      <c r="D5" s="125"/>
      <c r="E5" s="126"/>
      <c r="F5" s="126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9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6611980</v>
      </c>
      <c r="D7" s="16">
        <f>D8+D9+D10+D12+D13+D14+D15+D16+D17+D18+D19+D20+D21+D22+D24+D25+D26+D27</f>
        <v>6665388</v>
      </c>
      <c r="E7" s="13">
        <f>IF(C7=D7,"-",D7-C7)</f>
        <v>53408</v>
      </c>
      <c r="F7" s="88">
        <f>IF(C7=0,"-",D7/C7)</f>
        <v>1.008</v>
      </c>
      <c r="H7" s="3">
        <v>6665388</v>
      </c>
      <c r="I7" s="16">
        <f>D7-H7</f>
        <v>0</v>
      </c>
    </row>
    <row r="8" spans="1:8" ht="31.5" customHeight="1">
      <c r="A8" s="40" t="s">
        <v>1</v>
      </c>
      <c r="B8" s="102" t="s">
        <v>166</v>
      </c>
      <c r="C8" s="111">
        <v>878201</v>
      </c>
      <c r="D8" s="36">
        <f>H8</f>
        <v>880211</v>
      </c>
      <c r="E8" s="89">
        <f aca="true" t="shared" si="0" ref="E8:E29">IF(C8=D8,"-",D8-C8)</f>
        <v>2010</v>
      </c>
      <c r="F8" s="90">
        <f aca="true" t="shared" si="1" ref="F8:F46">IF(C8=0,"-",D8/C8)</f>
        <v>1.0023</v>
      </c>
      <c r="H8" s="2">
        <v>880211</v>
      </c>
    </row>
    <row r="9" spans="1:8" ht="31.5" customHeight="1">
      <c r="A9" s="40" t="s">
        <v>2</v>
      </c>
      <c r="B9" s="102" t="s">
        <v>167</v>
      </c>
      <c r="C9" s="111">
        <v>569542</v>
      </c>
      <c r="D9" s="36">
        <f>ROUND(H9-('[6]REZERWA NA MIGRACJĘ'!$C$19-'[7]REZERWA NA MIGRACJĘ'!$C$19),0)</f>
        <v>566718</v>
      </c>
      <c r="E9" s="89">
        <f t="shared" si="0"/>
        <v>-2824</v>
      </c>
      <c r="F9" s="90">
        <f t="shared" si="1"/>
        <v>0.995</v>
      </c>
      <c r="H9" s="2">
        <v>567053</v>
      </c>
    </row>
    <row r="10" spans="1:8" ht="31.5" customHeight="1">
      <c r="A10" s="40" t="s">
        <v>3</v>
      </c>
      <c r="B10" s="102" t="s">
        <v>158</v>
      </c>
      <c r="C10" s="111">
        <v>2781631</v>
      </c>
      <c r="D10" s="36">
        <f>ROUND(H10-('[6]REZERWA NA MIGRACJĘ'!$D$19-'[7]REZERWA NA MIGRACJĘ'!$D$19),0)+27185</f>
        <v>2854604</v>
      </c>
      <c r="E10" s="89">
        <f t="shared" si="0"/>
        <v>72973</v>
      </c>
      <c r="F10" s="90">
        <f t="shared" si="1"/>
        <v>1.0262</v>
      </c>
      <c r="H10" s="2">
        <v>2834961</v>
      </c>
    </row>
    <row r="11" spans="1:8" ht="31.5" customHeight="1">
      <c r="A11" s="103" t="s">
        <v>64</v>
      </c>
      <c r="B11" s="45" t="s">
        <v>65</v>
      </c>
      <c r="C11" s="111">
        <v>170000</v>
      </c>
      <c r="D11" s="36">
        <f>ROUND(H11-('[6]REZERWA NA MIGRACJĘ'!$E$19-'[7]REZERWA NA MIGRACJĘ'!$E$19),0)</f>
        <v>187566</v>
      </c>
      <c r="E11" s="89">
        <f t="shared" si="0"/>
        <v>17566</v>
      </c>
      <c r="F11" s="90">
        <f t="shared" si="1"/>
        <v>1.1033</v>
      </c>
      <c r="H11" s="2">
        <v>188000</v>
      </c>
    </row>
    <row r="12" spans="1:8" ht="31.5" customHeight="1">
      <c r="A12" s="40" t="s">
        <v>4</v>
      </c>
      <c r="B12" s="102" t="s">
        <v>173</v>
      </c>
      <c r="C12" s="111">
        <v>222921</v>
      </c>
      <c r="D12" s="36">
        <f>ROUND(H12-('[6]REZERWA NA MIGRACJĘ'!$F$19-'[7]REZERWA NA MIGRACJĘ'!$F$19),0)</f>
        <v>217681</v>
      </c>
      <c r="E12" s="89">
        <f t="shared" si="0"/>
        <v>-5240</v>
      </c>
      <c r="F12" s="90">
        <f t="shared" si="1"/>
        <v>0.9765</v>
      </c>
      <c r="H12" s="2">
        <v>217871</v>
      </c>
    </row>
    <row r="13" spans="1:8" ht="31.5" customHeight="1">
      <c r="A13" s="40" t="s">
        <v>5</v>
      </c>
      <c r="B13" s="102" t="s">
        <v>168</v>
      </c>
      <c r="C13" s="111">
        <v>204734</v>
      </c>
      <c r="D13" s="36">
        <f>ROUND(H13-('[6]REZERWA NA MIGRACJĘ'!$G$19-'[7]REZERWA NA MIGRACJĘ'!$G$19),0)</f>
        <v>180859</v>
      </c>
      <c r="E13" s="89">
        <f t="shared" si="0"/>
        <v>-23875</v>
      </c>
      <c r="F13" s="90">
        <f t="shared" si="1"/>
        <v>0.8834</v>
      </c>
      <c r="H13" s="2">
        <v>181544</v>
      </c>
    </row>
    <row r="14" spans="1:8" ht="31.5" customHeight="1">
      <c r="A14" s="40" t="s">
        <v>6</v>
      </c>
      <c r="B14" s="102" t="s">
        <v>177</v>
      </c>
      <c r="C14" s="111">
        <v>170261</v>
      </c>
      <c r="D14" s="36">
        <f>ROUND(H14-('[6]REZERWA NA MIGRACJĘ'!$H$19-'[7]REZERWA NA MIGRACJĘ'!$H$19),0)</f>
        <v>167256</v>
      </c>
      <c r="E14" s="89">
        <f t="shared" si="0"/>
        <v>-3005</v>
      </c>
      <c r="F14" s="90">
        <f t="shared" si="1"/>
        <v>0.9824</v>
      </c>
      <c r="H14" s="2">
        <v>167301</v>
      </c>
    </row>
    <row r="15" spans="1:8" ht="31.5" customHeight="1">
      <c r="A15" s="40" t="s">
        <v>7</v>
      </c>
      <c r="B15" s="102" t="s">
        <v>176</v>
      </c>
      <c r="C15" s="111">
        <v>29006</v>
      </c>
      <c r="D15" s="36">
        <f>ROUND(H15-('[6]REZERWA NA MIGRACJĘ'!$I$19-'[7]REZERWA NA MIGRACJĘ'!$I$19),0)</f>
        <v>28982</v>
      </c>
      <c r="E15" s="89">
        <f>IF(C15=D15,"-",D15-C15)</f>
        <v>-24</v>
      </c>
      <c r="F15" s="90">
        <f>IF(C15=0,"-",D15/C15)</f>
        <v>0.9992</v>
      </c>
      <c r="H15" s="2">
        <v>28976</v>
      </c>
    </row>
    <row r="16" spans="1:8" ht="31.5" customHeight="1">
      <c r="A16" s="40" t="s">
        <v>8</v>
      </c>
      <c r="B16" s="102" t="s">
        <v>169</v>
      </c>
      <c r="C16" s="111">
        <v>231374</v>
      </c>
      <c r="D16" s="36">
        <f>ROUND(H16-('[6]REZERWA NA MIGRACJĘ'!$J19-'[7]REZERWA NA MIGRACJĘ'!$J$19),0)</f>
        <v>186216</v>
      </c>
      <c r="E16" s="89">
        <f t="shared" si="0"/>
        <v>-45158</v>
      </c>
      <c r="F16" s="90">
        <f t="shared" si="1"/>
        <v>0.8048</v>
      </c>
      <c r="H16" s="2">
        <v>186378</v>
      </c>
    </row>
    <row r="17" spans="1:8" ht="31.5" customHeight="1">
      <c r="A17" s="40" t="s">
        <v>9</v>
      </c>
      <c r="B17" s="102" t="s">
        <v>170</v>
      </c>
      <c r="C17" s="111">
        <v>86035</v>
      </c>
      <c r="D17" s="36">
        <f>ROUND(H17,0)</f>
        <v>70000</v>
      </c>
      <c r="E17" s="89">
        <f t="shared" si="0"/>
        <v>-16035</v>
      </c>
      <c r="F17" s="90">
        <f t="shared" si="1"/>
        <v>0.8136</v>
      </c>
      <c r="H17" s="2">
        <v>70000</v>
      </c>
    </row>
    <row r="18" spans="1:8" ht="31.5" customHeight="1">
      <c r="A18" s="40" t="s">
        <v>10</v>
      </c>
      <c r="B18" s="102" t="s">
        <v>178</v>
      </c>
      <c r="C18" s="111">
        <v>4061</v>
      </c>
      <c r="D18" s="36">
        <f>ROUND(H18,0)</f>
        <v>4061</v>
      </c>
      <c r="E18" s="89" t="str">
        <f t="shared" si="0"/>
        <v>-</v>
      </c>
      <c r="F18" s="90">
        <f t="shared" si="1"/>
        <v>1</v>
      </c>
      <c r="H18" s="2">
        <v>4061</v>
      </c>
    </row>
    <row r="19" spans="1:8" ht="46.5" customHeight="1">
      <c r="A19" s="40" t="s">
        <v>11</v>
      </c>
      <c r="B19" s="102" t="s">
        <v>171</v>
      </c>
      <c r="C19" s="111">
        <v>14883</v>
      </c>
      <c r="D19" s="36">
        <f>ROUND(H19-('[6]REZERWA NA MIGRACJĘ'!$K$19-'[7]REZERWA NA MIGRACJĘ'!$K$19),0)</f>
        <v>15037</v>
      </c>
      <c r="E19" s="89">
        <f t="shared" si="0"/>
        <v>154</v>
      </c>
      <c r="F19" s="90">
        <f t="shared" si="1"/>
        <v>1.0103</v>
      </c>
      <c r="H19" s="2">
        <v>15018</v>
      </c>
    </row>
    <row r="20" spans="1:8" ht="31.5" customHeight="1">
      <c r="A20" s="40" t="s">
        <v>12</v>
      </c>
      <c r="B20" s="102" t="s">
        <v>172</v>
      </c>
      <c r="C20" s="111">
        <v>149338</v>
      </c>
      <c r="D20" s="36">
        <f>ROUND(H20-('[6]REZERWA NA MIGRACJĘ'!$L$19-'[7]REZERWA NA MIGRACJĘ'!$L$19),0)</f>
        <v>148818</v>
      </c>
      <c r="E20" s="89">
        <f t="shared" si="0"/>
        <v>-520</v>
      </c>
      <c r="F20" s="90">
        <f t="shared" si="1"/>
        <v>0.9965</v>
      </c>
      <c r="H20" s="2">
        <v>149948</v>
      </c>
    </row>
    <row r="21" spans="1:8" ht="31.5" customHeight="1">
      <c r="A21" s="40" t="s">
        <v>14</v>
      </c>
      <c r="B21" s="46" t="s">
        <v>13</v>
      </c>
      <c r="C21" s="111">
        <v>79110</v>
      </c>
      <c r="D21" s="36">
        <f>H21</f>
        <v>79110</v>
      </c>
      <c r="E21" s="89" t="str">
        <f t="shared" si="0"/>
        <v>-</v>
      </c>
      <c r="F21" s="90">
        <f t="shared" si="1"/>
        <v>1</v>
      </c>
      <c r="H21" s="2">
        <v>79110</v>
      </c>
    </row>
    <row r="22" spans="1:8" ht="31.5" customHeight="1">
      <c r="A22" s="41" t="s">
        <v>15</v>
      </c>
      <c r="B22" s="102" t="s">
        <v>174</v>
      </c>
      <c r="C22" s="111">
        <v>1004823</v>
      </c>
      <c r="D22" s="36">
        <f>H22-27185</f>
        <v>1042638</v>
      </c>
      <c r="E22" s="89">
        <f t="shared" si="0"/>
        <v>37815</v>
      </c>
      <c r="F22" s="90">
        <f t="shared" si="1"/>
        <v>1.0376</v>
      </c>
      <c r="H22" s="2">
        <v>1069823</v>
      </c>
    </row>
    <row r="23" spans="1:8" ht="31.5" customHeight="1">
      <c r="A23" s="39" t="s">
        <v>179</v>
      </c>
      <c r="B23" s="45" t="s">
        <v>66</v>
      </c>
      <c r="C23" s="111">
        <v>1946</v>
      </c>
      <c r="D23" s="36">
        <f>H23</f>
        <v>1946</v>
      </c>
      <c r="E23" s="89" t="str">
        <f t="shared" si="0"/>
        <v>-</v>
      </c>
      <c r="F23" s="90">
        <f t="shared" si="1"/>
        <v>1</v>
      </c>
      <c r="H23" s="2">
        <v>1946</v>
      </c>
    </row>
    <row r="24" spans="1:8" ht="33" customHeight="1">
      <c r="A24" s="42" t="s">
        <v>16</v>
      </c>
      <c r="B24" s="47" t="s">
        <v>140</v>
      </c>
      <c r="C24" s="111">
        <v>0</v>
      </c>
      <c r="D24" s="36">
        <f>H24</f>
        <v>0</v>
      </c>
      <c r="E24" s="89" t="str">
        <f>IF(C24=D24,"-",D24-C24)</f>
        <v>-</v>
      </c>
      <c r="F24" s="90" t="str">
        <f>IF(C24=0,"-",D24/C24)</f>
        <v>-</v>
      </c>
      <c r="H24" s="2">
        <v>0</v>
      </c>
    </row>
    <row r="25" spans="1:8" ht="33" customHeight="1">
      <c r="A25" s="42" t="s">
        <v>137</v>
      </c>
      <c r="B25" s="48" t="s">
        <v>60</v>
      </c>
      <c r="C25" s="111">
        <v>0</v>
      </c>
      <c r="D25" s="36">
        <f>H25</f>
        <v>0</v>
      </c>
      <c r="E25" s="89" t="str">
        <f>IF(C25=D25,"-",D25-C25)</f>
        <v>-</v>
      </c>
      <c r="F25" s="90" t="str">
        <f>IF(C25=0,"-",D25/C25)</f>
        <v>-</v>
      </c>
      <c r="H25" s="2">
        <v>0</v>
      </c>
    </row>
    <row r="26" spans="1:8" ht="33" customHeight="1">
      <c r="A26" s="42" t="s">
        <v>138</v>
      </c>
      <c r="B26" s="48" t="s">
        <v>141</v>
      </c>
      <c r="C26" s="111">
        <v>156060</v>
      </c>
      <c r="D26" s="36">
        <f>ROUND('[6]REZERWA NA MIGRACJĘ'!$B$19,0)</f>
        <v>196073</v>
      </c>
      <c r="E26" s="89">
        <f>IF(C26=D26,"-",D26-C26)</f>
        <v>40013</v>
      </c>
      <c r="F26" s="90">
        <f>IF(C26=0,"-",D26/C26)</f>
        <v>1.2564</v>
      </c>
      <c r="H26" s="2">
        <v>185955</v>
      </c>
    </row>
    <row r="27" spans="1:8" ht="33" customHeight="1">
      <c r="A27" s="42" t="s">
        <v>139</v>
      </c>
      <c r="B27" s="48" t="s">
        <v>142</v>
      </c>
      <c r="C27" s="111">
        <v>30000</v>
      </c>
      <c r="D27" s="36">
        <f>ROUND(H27-('[6]REZERWA NA MIGRACJĘ'!$M$19-'[7]REZERWA NA MIGRACJĘ'!$M$19),0)</f>
        <v>27124</v>
      </c>
      <c r="E27" s="89">
        <f>IF(C27=D27,"-",D27-C27)</f>
        <v>-2876</v>
      </c>
      <c r="F27" s="90">
        <f>IF(C27=0,"-",D27/C27)</f>
        <v>0.9041</v>
      </c>
      <c r="H27" s="2">
        <v>27178</v>
      </c>
    </row>
    <row r="28" spans="1:6" s="5" customFormat="1" ht="31.5" customHeight="1">
      <c r="A28" s="43" t="s">
        <v>68</v>
      </c>
      <c r="B28" s="49" t="s">
        <v>69</v>
      </c>
      <c r="C28" s="112">
        <v>0</v>
      </c>
      <c r="D28" s="119">
        <f>C28</f>
        <v>0</v>
      </c>
      <c r="E28" s="15" t="str">
        <f t="shared" si="0"/>
        <v>-</v>
      </c>
      <c r="F28" s="120" t="str">
        <f t="shared" si="1"/>
        <v>-</v>
      </c>
    </row>
    <row r="29" spans="1:6" s="5" customFormat="1" ht="31.5" customHeight="1">
      <c r="A29" s="43" t="s">
        <v>67</v>
      </c>
      <c r="B29" s="49" t="s">
        <v>70</v>
      </c>
      <c r="C29" s="112">
        <v>187413</v>
      </c>
      <c r="D29" s="119">
        <f>C29</f>
        <v>187413</v>
      </c>
      <c r="E29" s="15" t="str">
        <f t="shared" si="0"/>
        <v>-</v>
      </c>
      <c r="F29" s="120">
        <f t="shared" si="1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57708</v>
      </c>
      <c r="D30" s="34">
        <f>D31+D32+D33+D41+D42+D48+D49+D50+D47</f>
        <v>57708</v>
      </c>
      <c r="E30" s="13" t="str">
        <f>IF(C30=D30,"-",D30-C30)</f>
        <v>-</v>
      </c>
      <c r="F30" s="91">
        <f t="shared" si="1"/>
        <v>1</v>
      </c>
    </row>
    <row r="31" spans="1:6" ht="28.5" customHeight="1">
      <c r="A31" s="42" t="s">
        <v>19</v>
      </c>
      <c r="B31" s="51" t="s">
        <v>20</v>
      </c>
      <c r="C31" s="94">
        <v>2073</v>
      </c>
      <c r="D31" s="35">
        <f>C31</f>
        <v>2073</v>
      </c>
      <c r="E31" s="89" t="str">
        <f aca="true" t="shared" si="2" ref="E31:E51">IF(C31=D31,"-",D31-C31)</f>
        <v>-</v>
      </c>
      <c r="F31" s="90">
        <f t="shared" si="1"/>
        <v>1</v>
      </c>
    </row>
    <row r="32" spans="1:6" ht="28.5" customHeight="1">
      <c r="A32" s="42" t="s">
        <v>21</v>
      </c>
      <c r="B32" s="51" t="s">
        <v>22</v>
      </c>
      <c r="C32" s="94">
        <v>6734</v>
      </c>
      <c r="D32" s="35">
        <f>C32</f>
        <v>6734</v>
      </c>
      <c r="E32" s="89" t="str">
        <f t="shared" si="2"/>
        <v>-</v>
      </c>
      <c r="F32" s="90">
        <f t="shared" si="1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601</v>
      </c>
      <c r="D33" s="35">
        <f>D34+D36+D37+D38+D39+D40</f>
        <v>601</v>
      </c>
      <c r="E33" s="89" t="str">
        <f t="shared" si="2"/>
        <v>-</v>
      </c>
      <c r="F33" s="90">
        <f t="shared" si="1"/>
        <v>1</v>
      </c>
    </row>
    <row r="34" spans="1:6" ht="28.5" customHeight="1">
      <c r="A34" s="53" t="s">
        <v>45</v>
      </c>
      <c r="B34" s="54" t="s">
        <v>38</v>
      </c>
      <c r="C34" s="94">
        <v>67</v>
      </c>
      <c r="D34" s="35">
        <f>C34</f>
        <v>67</v>
      </c>
      <c r="E34" s="89" t="str">
        <f t="shared" si="2"/>
        <v>-</v>
      </c>
      <c r="F34" s="90">
        <f t="shared" si="1"/>
        <v>1</v>
      </c>
    </row>
    <row r="35" spans="1:6" ht="28.5" customHeight="1">
      <c r="A35" s="53" t="s">
        <v>46</v>
      </c>
      <c r="B35" s="55" t="s">
        <v>39</v>
      </c>
      <c r="C35" s="94">
        <v>67</v>
      </c>
      <c r="D35" s="35">
        <f aca="true" t="shared" si="3" ref="D35:D47">C35</f>
        <v>67</v>
      </c>
      <c r="E35" s="89" t="str">
        <f t="shared" si="2"/>
        <v>-</v>
      </c>
      <c r="F35" s="90">
        <f t="shared" si="1"/>
        <v>1</v>
      </c>
    </row>
    <row r="36" spans="1:6" ht="28.5" customHeight="1">
      <c r="A36" s="53" t="s">
        <v>47</v>
      </c>
      <c r="B36" s="54" t="s">
        <v>40</v>
      </c>
      <c r="C36" s="94">
        <v>0</v>
      </c>
      <c r="D36" s="35">
        <f t="shared" si="3"/>
        <v>0</v>
      </c>
      <c r="E36" s="89" t="str">
        <f t="shared" si="2"/>
        <v>-</v>
      </c>
      <c r="F36" s="90" t="str">
        <f t="shared" si="1"/>
        <v>-</v>
      </c>
    </row>
    <row r="37" spans="1:6" ht="28.5" customHeight="1">
      <c r="A37" s="53" t="s">
        <v>48</v>
      </c>
      <c r="B37" s="54" t="s">
        <v>41</v>
      </c>
      <c r="C37" s="94">
        <v>11</v>
      </c>
      <c r="D37" s="35">
        <f t="shared" si="3"/>
        <v>11</v>
      </c>
      <c r="E37" s="89" t="str">
        <f t="shared" si="2"/>
        <v>-</v>
      </c>
      <c r="F37" s="90">
        <f t="shared" si="1"/>
        <v>1</v>
      </c>
    </row>
    <row r="38" spans="1:6" ht="28.5" customHeight="1">
      <c r="A38" s="53" t="s">
        <v>49</v>
      </c>
      <c r="B38" s="54" t="s">
        <v>42</v>
      </c>
      <c r="C38" s="94">
        <v>0</v>
      </c>
      <c r="D38" s="35">
        <f t="shared" si="3"/>
        <v>0</v>
      </c>
      <c r="E38" s="89" t="str">
        <f t="shared" si="2"/>
        <v>-</v>
      </c>
      <c r="F38" s="90" t="str">
        <f t="shared" si="1"/>
        <v>-</v>
      </c>
    </row>
    <row r="39" spans="1:6" ht="28.5" customHeight="1">
      <c r="A39" s="53" t="s">
        <v>50</v>
      </c>
      <c r="B39" s="54" t="s">
        <v>43</v>
      </c>
      <c r="C39" s="94">
        <v>506</v>
      </c>
      <c r="D39" s="35">
        <f t="shared" si="3"/>
        <v>506</v>
      </c>
      <c r="E39" s="89" t="str">
        <f t="shared" si="2"/>
        <v>-</v>
      </c>
      <c r="F39" s="90">
        <f t="shared" si="1"/>
        <v>1</v>
      </c>
    </row>
    <row r="40" spans="1:6" ht="28.5" customHeight="1">
      <c r="A40" s="53" t="s">
        <v>51</v>
      </c>
      <c r="B40" s="54" t="s">
        <v>44</v>
      </c>
      <c r="C40" s="94">
        <v>17</v>
      </c>
      <c r="D40" s="35">
        <f t="shared" si="3"/>
        <v>17</v>
      </c>
      <c r="E40" s="89" t="str">
        <f t="shared" si="2"/>
        <v>-</v>
      </c>
      <c r="F40" s="90">
        <f t="shared" si="1"/>
        <v>1</v>
      </c>
    </row>
    <row r="41" spans="1:6" ht="28.5" customHeight="1">
      <c r="A41" s="42" t="s">
        <v>24</v>
      </c>
      <c r="B41" s="51" t="s">
        <v>25</v>
      </c>
      <c r="C41" s="35">
        <v>35546</v>
      </c>
      <c r="D41" s="35">
        <f t="shared" si="3"/>
        <v>35546</v>
      </c>
      <c r="E41" s="89" t="str">
        <f t="shared" si="2"/>
        <v>-</v>
      </c>
      <c r="F41" s="90">
        <f t="shared" si="1"/>
        <v>1</v>
      </c>
    </row>
    <row r="42" spans="1:6" ht="28.5" customHeight="1">
      <c r="A42" s="42" t="s">
        <v>26</v>
      </c>
      <c r="B42" s="52" t="s">
        <v>61</v>
      </c>
      <c r="C42" s="110">
        <f>C43+C44+C45+C46</f>
        <v>7166</v>
      </c>
      <c r="D42" s="35">
        <f>SUM(D43:D46)</f>
        <v>7166</v>
      </c>
      <c r="E42" s="89" t="str">
        <f t="shared" si="2"/>
        <v>-</v>
      </c>
      <c r="F42" s="90">
        <f t="shared" si="1"/>
        <v>1</v>
      </c>
    </row>
    <row r="43" spans="1:6" ht="28.5" customHeight="1">
      <c r="A43" s="53" t="s">
        <v>56</v>
      </c>
      <c r="B43" s="54" t="s">
        <v>52</v>
      </c>
      <c r="C43" s="35">
        <v>5399</v>
      </c>
      <c r="D43" s="35">
        <f>C43</f>
        <v>5399</v>
      </c>
      <c r="E43" s="89" t="str">
        <f t="shared" si="2"/>
        <v>-</v>
      </c>
      <c r="F43" s="90">
        <f t="shared" si="1"/>
        <v>1</v>
      </c>
    </row>
    <row r="44" spans="1:6" ht="28.5" customHeight="1">
      <c r="A44" s="53" t="s">
        <v>57</v>
      </c>
      <c r="B44" s="54" t="s">
        <v>53</v>
      </c>
      <c r="C44" s="35">
        <v>871</v>
      </c>
      <c r="D44" s="35">
        <f>C44</f>
        <v>871</v>
      </c>
      <c r="E44" s="89" t="str">
        <f t="shared" si="2"/>
        <v>-</v>
      </c>
      <c r="F44" s="90">
        <f t="shared" si="1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3"/>
        <v>0</v>
      </c>
      <c r="E45" s="89" t="str">
        <f t="shared" si="2"/>
        <v>-</v>
      </c>
      <c r="F45" s="90" t="str">
        <f t="shared" si="1"/>
        <v>-</v>
      </c>
    </row>
    <row r="46" spans="1:6" ht="28.5" customHeight="1">
      <c r="A46" s="53" t="s">
        <v>59</v>
      </c>
      <c r="B46" s="54" t="s">
        <v>55</v>
      </c>
      <c r="C46" s="35">
        <v>896</v>
      </c>
      <c r="D46" s="35">
        <f>C46</f>
        <v>896</v>
      </c>
      <c r="E46" s="89" t="str">
        <f t="shared" si="2"/>
        <v>-</v>
      </c>
      <c r="F46" s="90">
        <f t="shared" si="1"/>
        <v>1</v>
      </c>
    </row>
    <row r="47" spans="1:6" ht="28.5" customHeight="1">
      <c r="A47" s="42" t="s">
        <v>27</v>
      </c>
      <c r="B47" s="51" t="s">
        <v>28</v>
      </c>
      <c r="C47" s="94">
        <v>0</v>
      </c>
      <c r="D47" s="35">
        <f t="shared" si="3"/>
        <v>0</v>
      </c>
      <c r="E47" s="89" t="str">
        <f t="shared" si="2"/>
        <v>-</v>
      </c>
      <c r="F47" s="90" t="str">
        <f aca="true" t="shared" si="4" ref="F47:F55">IF(C47=0,"-",D47/C47)</f>
        <v>-</v>
      </c>
    </row>
    <row r="48" spans="1:6" ht="48" customHeight="1">
      <c r="A48" s="42" t="s">
        <v>29</v>
      </c>
      <c r="B48" s="51" t="s">
        <v>116</v>
      </c>
      <c r="C48" s="111">
        <v>4921</v>
      </c>
      <c r="D48" s="35">
        <f>C48</f>
        <v>4921</v>
      </c>
      <c r="E48" s="89" t="str">
        <f t="shared" si="2"/>
        <v>-</v>
      </c>
      <c r="F48" s="92">
        <f t="shared" si="4"/>
        <v>1</v>
      </c>
    </row>
    <row r="49" spans="1:6" ht="43.5" customHeight="1">
      <c r="A49" s="42" t="s">
        <v>30</v>
      </c>
      <c r="B49" s="51" t="s">
        <v>31</v>
      </c>
      <c r="C49" s="111">
        <v>197</v>
      </c>
      <c r="D49" s="35">
        <f>C49</f>
        <v>197</v>
      </c>
      <c r="E49" s="89" t="str">
        <f t="shared" si="2"/>
        <v>-</v>
      </c>
      <c r="F49" s="92">
        <f t="shared" si="4"/>
        <v>1</v>
      </c>
    </row>
    <row r="50" spans="1:6" ht="35.25" customHeight="1">
      <c r="A50" s="42" t="s">
        <v>32</v>
      </c>
      <c r="B50" s="51" t="s">
        <v>33</v>
      </c>
      <c r="C50" s="94">
        <v>470</v>
      </c>
      <c r="D50" s="35">
        <f>C50</f>
        <v>470</v>
      </c>
      <c r="E50" s="89" t="str">
        <f t="shared" si="2"/>
        <v>-</v>
      </c>
      <c r="F50" s="90">
        <f t="shared" si="4"/>
        <v>1</v>
      </c>
    </row>
    <row r="51" spans="1:6" s="3" customFormat="1" ht="30" customHeight="1">
      <c r="A51" s="44" t="s">
        <v>34</v>
      </c>
      <c r="B51" s="56" t="s">
        <v>175</v>
      </c>
      <c r="C51" s="38">
        <f>SUM(C52:C55)</f>
        <v>13690</v>
      </c>
      <c r="D51" s="38">
        <f>SUM(D52:D55)</f>
        <v>13690</v>
      </c>
      <c r="E51" s="13" t="str">
        <f t="shared" si="2"/>
        <v>-</v>
      </c>
      <c r="F51" s="93">
        <f t="shared" si="4"/>
        <v>1</v>
      </c>
    </row>
    <row r="52" spans="1:6" ht="42" customHeight="1">
      <c r="A52" s="42" t="s">
        <v>119</v>
      </c>
      <c r="B52" s="51" t="s">
        <v>144</v>
      </c>
      <c r="C52" s="94">
        <v>640</v>
      </c>
      <c r="D52" s="35">
        <f>C52</f>
        <v>640</v>
      </c>
      <c r="E52" s="94" t="str">
        <f>IF(C52=D52,"-",D52-C52)</f>
        <v>-</v>
      </c>
      <c r="F52" s="100">
        <f t="shared" si="4"/>
        <v>1</v>
      </c>
    </row>
    <row r="53" spans="1:6" ht="31.5" customHeight="1">
      <c r="A53" s="42" t="s">
        <v>35</v>
      </c>
      <c r="B53" s="51" t="s">
        <v>63</v>
      </c>
      <c r="C53" s="94">
        <v>10150</v>
      </c>
      <c r="D53" s="35">
        <f>C53</f>
        <v>10150</v>
      </c>
      <c r="E53" s="94" t="str">
        <f>IF(C53=D53,"-",D53-C53)</f>
        <v>-</v>
      </c>
      <c r="F53" s="100">
        <f t="shared" si="4"/>
        <v>1</v>
      </c>
    </row>
    <row r="54" spans="1:6" ht="31.5" customHeight="1">
      <c r="A54" s="42" t="s">
        <v>36</v>
      </c>
      <c r="B54" s="51" t="s">
        <v>121</v>
      </c>
      <c r="C54" s="94">
        <v>0</v>
      </c>
      <c r="D54" s="35">
        <f>C54</f>
        <v>0</v>
      </c>
      <c r="E54" s="94" t="str">
        <f>IF(C54=D54,"-",D54-C54)</f>
        <v>-</v>
      </c>
      <c r="F54" s="100" t="str">
        <f t="shared" si="4"/>
        <v>-</v>
      </c>
    </row>
    <row r="55" spans="1:6" ht="31.5" customHeight="1">
      <c r="A55" s="42" t="s">
        <v>120</v>
      </c>
      <c r="B55" s="51" t="s">
        <v>122</v>
      </c>
      <c r="C55" s="94">
        <v>2900</v>
      </c>
      <c r="D55" s="35">
        <f>C55</f>
        <v>2900</v>
      </c>
      <c r="E55" s="94" t="str">
        <f>IF(C55=D55,"-",D55-C55)</f>
        <v>-</v>
      </c>
      <c r="F55" s="100">
        <f t="shared" si="4"/>
        <v>1</v>
      </c>
    </row>
    <row r="56" spans="1:6" ht="32.25" customHeight="1">
      <c r="A56" s="44" t="s">
        <v>127</v>
      </c>
      <c r="B56" s="56" t="s">
        <v>155</v>
      </c>
      <c r="C56" s="113">
        <v>2989</v>
      </c>
      <c r="D56" s="38">
        <f>C56</f>
        <v>2989</v>
      </c>
      <c r="E56" s="13" t="str">
        <f>IF(C56=D56,"-",D56-C56)</f>
        <v>-</v>
      </c>
      <c r="F56" s="93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zoomScale="55" zoomScaleNormal="55" zoomScaleSheetLayoutView="55" zoomScalePageLayoutView="0" workbookViewId="0" topLeftCell="A1">
      <pane ySplit="7" topLeftCell="BM8" activePane="bottomLeft" state="frozen"/>
      <selection pane="topLeft" activeCell="G1" sqref="G1:AA16384"/>
      <selection pane="bottomLeft" activeCell="G1" sqref="G1:AA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8" width="0" style="2" hidden="1" customWidth="1"/>
    <col min="9" max="9" width="15.125" style="2" hidden="1" customWidth="1"/>
    <col min="10" max="27" width="0" style="2" hidden="1" customWidth="1"/>
    <col min="28" max="16384" width="9.125" style="2" customWidth="1"/>
  </cols>
  <sheetData>
    <row r="1" spans="1:6" s="59" customFormat="1" ht="38.25" customHeight="1">
      <c r="A1" s="129" t="str">
        <f>NFZ!A1</f>
        <v>ZMIANA PLANU FINANSOWEGO NARODOWEGO FUNDUSZU ZDROWIA NA 2010 ROK Z 16 GRUDNIA 2009 ROKU</v>
      </c>
      <c r="B1" s="129"/>
      <c r="C1" s="129"/>
      <c r="D1" s="129"/>
      <c r="E1" s="129"/>
      <c r="F1" s="129"/>
    </row>
    <row r="2" spans="1:3" s="61" customFormat="1" ht="33" customHeight="1">
      <c r="A2" s="130" t="s">
        <v>83</v>
      </c>
      <c r="B2" s="130"/>
      <c r="C2" s="130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2" t="s">
        <v>165</v>
      </c>
      <c r="B4" s="131" t="s">
        <v>62</v>
      </c>
      <c r="C4" s="127" t="s">
        <v>202</v>
      </c>
      <c r="D4" s="124" t="s">
        <v>159</v>
      </c>
      <c r="E4" s="126" t="s">
        <v>164</v>
      </c>
      <c r="F4" s="126" t="s">
        <v>163</v>
      </c>
    </row>
    <row r="5" spans="1:6" s="6" customFormat="1" ht="33" customHeight="1">
      <c r="A5" s="131"/>
      <c r="B5" s="131"/>
      <c r="C5" s="128"/>
      <c r="D5" s="125"/>
      <c r="E5" s="126"/>
      <c r="F5" s="126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9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1711801</v>
      </c>
      <c r="D7" s="16">
        <f>D8+D9+D10+D12+D13+D14+D15+D16+D17+D18+D19+D20+D21+D22+D24+D25+D26+D27</f>
        <v>1725764</v>
      </c>
      <c r="E7" s="13">
        <f>IF(C7=D7,"-",D7-C7)</f>
        <v>13963</v>
      </c>
      <c r="F7" s="88">
        <f>IF(C7=0,"-",D7/C7)</f>
        <v>1.008</v>
      </c>
      <c r="H7" s="3">
        <v>1725764</v>
      </c>
      <c r="I7" s="16">
        <f>D7-H7</f>
        <v>0</v>
      </c>
    </row>
    <row r="8" spans="1:8" ht="31.5" customHeight="1">
      <c r="A8" s="40" t="s">
        <v>1</v>
      </c>
      <c r="B8" s="102" t="s">
        <v>166</v>
      </c>
      <c r="C8" s="111">
        <v>195600</v>
      </c>
      <c r="D8" s="36">
        <f>H8</f>
        <v>245000</v>
      </c>
      <c r="E8" s="89">
        <f aca="true" t="shared" si="0" ref="E8:E29">IF(C8=D8,"-",D8-C8)</f>
        <v>49400</v>
      </c>
      <c r="F8" s="90">
        <f aca="true" t="shared" si="1" ref="F8:F46">IF(C8=0,"-",D8/C8)</f>
        <v>1.2526</v>
      </c>
      <c r="H8" s="2">
        <v>245000</v>
      </c>
    </row>
    <row r="9" spans="1:8" ht="31.5" customHeight="1">
      <c r="A9" s="40" t="s">
        <v>2</v>
      </c>
      <c r="B9" s="102" t="s">
        <v>167</v>
      </c>
      <c r="C9" s="111">
        <v>115790</v>
      </c>
      <c r="D9" s="36">
        <f>ROUND(H9-('[6]REZERWA NA MIGRACJĘ'!$C$20-'[7]REZERWA NA MIGRACJĘ'!$C$20),0)</f>
        <v>96038</v>
      </c>
      <c r="E9" s="89">
        <f t="shared" si="0"/>
        <v>-19752</v>
      </c>
      <c r="F9" s="90">
        <f t="shared" si="1"/>
        <v>0.8294</v>
      </c>
      <c r="H9" s="2">
        <v>96382</v>
      </c>
    </row>
    <row r="10" spans="1:8" ht="31.5" customHeight="1">
      <c r="A10" s="40" t="s">
        <v>3</v>
      </c>
      <c r="B10" s="102" t="s">
        <v>158</v>
      </c>
      <c r="C10" s="111">
        <v>718907</v>
      </c>
      <c r="D10" s="36">
        <f>ROUND(H10-('[6]REZERWA NA MIGRACJĘ'!$D$20-'[7]REZERWA NA MIGRACJĘ'!$D$20),0)+5564</f>
        <v>712882</v>
      </c>
      <c r="E10" s="89">
        <f t="shared" si="0"/>
        <v>-6025</v>
      </c>
      <c r="F10" s="90">
        <f t="shared" si="1"/>
        <v>0.9916</v>
      </c>
      <c r="H10" s="2">
        <v>714671</v>
      </c>
    </row>
    <row r="11" spans="1:8" ht="31.5" customHeight="1">
      <c r="A11" s="103" t="s">
        <v>64</v>
      </c>
      <c r="B11" s="45" t="s">
        <v>65</v>
      </c>
      <c r="C11" s="111">
        <v>33800</v>
      </c>
      <c r="D11" s="36">
        <f>ROUND(H11-('[6]REZERWA NA MIGRACJĘ'!$E$20-'[7]REZERWA NA MIGRACJĘ'!$E$20),0)</f>
        <v>37649</v>
      </c>
      <c r="E11" s="89">
        <f t="shared" si="0"/>
        <v>3849</v>
      </c>
      <c r="F11" s="90">
        <f t="shared" si="1"/>
        <v>1.1139</v>
      </c>
      <c r="H11" s="2">
        <v>38240</v>
      </c>
    </row>
    <row r="12" spans="1:8" ht="31.5" customHeight="1">
      <c r="A12" s="40" t="s">
        <v>4</v>
      </c>
      <c r="B12" s="102" t="s">
        <v>173</v>
      </c>
      <c r="C12" s="111">
        <v>57500</v>
      </c>
      <c r="D12" s="36">
        <f>ROUND(H12-('[6]REZERWA NA MIGRACJĘ'!$F$20-'[7]REZERWA NA MIGRACJĘ'!$F$20),0)</f>
        <v>46400</v>
      </c>
      <c r="E12" s="89">
        <f t="shared" si="0"/>
        <v>-11100</v>
      </c>
      <c r="F12" s="90">
        <f t="shared" si="1"/>
        <v>0.807</v>
      </c>
      <c r="H12" s="2">
        <v>46943</v>
      </c>
    </row>
    <row r="13" spans="1:8" ht="31.5" customHeight="1">
      <c r="A13" s="40" t="s">
        <v>5</v>
      </c>
      <c r="B13" s="102" t="s">
        <v>168</v>
      </c>
      <c r="C13" s="111">
        <v>64200</v>
      </c>
      <c r="D13" s="36">
        <f>ROUND(H13-('[6]REZERWA NA MIGRACJĘ'!$G$20-'[7]REZERWA NA MIGRACJĘ'!$G$20),0)</f>
        <v>49624</v>
      </c>
      <c r="E13" s="89">
        <f t="shared" si="0"/>
        <v>-14576</v>
      </c>
      <c r="F13" s="90">
        <f t="shared" si="1"/>
        <v>0.773</v>
      </c>
      <c r="H13" s="2">
        <v>50001</v>
      </c>
    </row>
    <row r="14" spans="1:8" ht="31.5" customHeight="1">
      <c r="A14" s="40" t="s">
        <v>6</v>
      </c>
      <c r="B14" s="102" t="s">
        <v>177</v>
      </c>
      <c r="C14" s="111">
        <v>24050</v>
      </c>
      <c r="D14" s="36">
        <f>ROUND(H14-('[6]REZERWA NA MIGRACJĘ'!$H$20-'[7]REZERWA NA MIGRACJĘ'!$H$20),0)</f>
        <v>22080</v>
      </c>
      <c r="E14" s="89">
        <f t="shared" si="0"/>
        <v>-1970</v>
      </c>
      <c r="F14" s="90">
        <f t="shared" si="1"/>
        <v>0.9181</v>
      </c>
      <c r="H14" s="2">
        <v>22141</v>
      </c>
    </row>
    <row r="15" spans="1:8" ht="31.5" customHeight="1">
      <c r="A15" s="40" t="s">
        <v>7</v>
      </c>
      <c r="B15" s="102" t="s">
        <v>176</v>
      </c>
      <c r="C15" s="111">
        <v>7500</v>
      </c>
      <c r="D15" s="36">
        <f>ROUND(H15-('[6]REZERWA NA MIGRACJĘ'!$I$20-'[7]REZERWA NA MIGRACJĘ'!$I$20),0)</f>
        <v>6284</v>
      </c>
      <c r="E15" s="89">
        <f>IF(C15=D15,"-",D15-C15)</f>
        <v>-1216</v>
      </c>
      <c r="F15" s="90">
        <f>IF(C15=0,"-",D15/C15)</f>
        <v>0.8379</v>
      </c>
      <c r="H15" s="2">
        <v>6322</v>
      </c>
    </row>
    <row r="16" spans="1:8" ht="31.5" customHeight="1">
      <c r="A16" s="40" t="s">
        <v>8</v>
      </c>
      <c r="B16" s="102" t="s">
        <v>169</v>
      </c>
      <c r="C16" s="111">
        <v>59000</v>
      </c>
      <c r="D16" s="36">
        <f>ROUND(H16-('[6]REZERWA NA MIGRACJĘ'!$J20-'[7]REZERWA NA MIGRACJĘ'!$J$20),0)</f>
        <v>52736</v>
      </c>
      <c r="E16" s="89">
        <f t="shared" si="0"/>
        <v>-6264</v>
      </c>
      <c r="F16" s="90">
        <f t="shared" si="1"/>
        <v>0.8938</v>
      </c>
      <c r="H16" s="2">
        <v>52939</v>
      </c>
    </row>
    <row r="17" spans="1:8" ht="31.5" customHeight="1">
      <c r="A17" s="40" t="s">
        <v>9</v>
      </c>
      <c r="B17" s="102" t="s">
        <v>170</v>
      </c>
      <c r="C17" s="111">
        <v>23497</v>
      </c>
      <c r="D17" s="36">
        <f>ROUND(H17,0)</f>
        <v>21000</v>
      </c>
      <c r="E17" s="89">
        <f t="shared" si="0"/>
        <v>-2497</v>
      </c>
      <c r="F17" s="90">
        <f t="shared" si="1"/>
        <v>0.8937</v>
      </c>
      <c r="H17" s="2">
        <v>21000</v>
      </c>
    </row>
    <row r="18" spans="1:8" ht="31.5" customHeight="1">
      <c r="A18" s="40" t="s">
        <v>10</v>
      </c>
      <c r="B18" s="102" t="s">
        <v>178</v>
      </c>
      <c r="C18" s="111">
        <v>1462</v>
      </c>
      <c r="D18" s="36">
        <f>ROUND(H18,0)</f>
        <v>1300</v>
      </c>
      <c r="E18" s="89">
        <f t="shared" si="0"/>
        <v>-162</v>
      </c>
      <c r="F18" s="90">
        <f t="shared" si="1"/>
        <v>0.8892</v>
      </c>
      <c r="H18" s="2">
        <v>1300</v>
      </c>
    </row>
    <row r="19" spans="1:8" ht="46.5" customHeight="1">
      <c r="A19" s="40" t="s">
        <v>11</v>
      </c>
      <c r="B19" s="102" t="s">
        <v>171</v>
      </c>
      <c r="C19" s="111">
        <v>3757</v>
      </c>
      <c r="D19" s="36">
        <f>ROUND(H19-('[6]REZERWA NA MIGRACJĘ'!$K$20-'[7]REZERWA NA MIGRACJĘ'!$K$20),0)-21</f>
        <v>4693</v>
      </c>
      <c r="E19" s="89">
        <f t="shared" si="0"/>
        <v>936</v>
      </c>
      <c r="F19" s="90">
        <f t="shared" si="1"/>
        <v>1.2491</v>
      </c>
      <c r="H19" s="2">
        <v>4723</v>
      </c>
    </row>
    <row r="20" spans="1:8" ht="31.5" customHeight="1">
      <c r="A20" s="40" t="s">
        <v>12</v>
      </c>
      <c r="B20" s="102" t="s">
        <v>172</v>
      </c>
      <c r="C20" s="111">
        <v>39555</v>
      </c>
      <c r="D20" s="36">
        <f>ROUND(H20-('[6]REZERWA NA MIGRACJĘ'!$L$20-'[7]REZERWA NA MIGRACJĘ'!$L$20),0)</f>
        <v>33875</v>
      </c>
      <c r="E20" s="89">
        <f t="shared" si="0"/>
        <v>-5680</v>
      </c>
      <c r="F20" s="90">
        <f t="shared" si="1"/>
        <v>0.8564</v>
      </c>
      <c r="H20" s="2">
        <v>34301</v>
      </c>
    </row>
    <row r="21" spans="1:8" ht="31.5" customHeight="1">
      <c r="A21" s="40" t="s">
        <v>14</v>
      </c>
      <c r="B21" s="46" t="s">
        <v>13</v>
      </c>
      <c r="C21" s="111">
        <v>20000</v>
      </c>
      <c r="D21" s="36">
        <f>H21</f>
        <v>20000</v>
      </c>
      <c r="E21" s="89" t="str">
        <f t="shared" si="0"/>
        <v>-</v>
      </c>
      <c r="F21" s="90">
        <f t="shared" si="1"/>
        <v>1</v>
      </c>
      <c r="H21" s="2">
        <v>20000</v>
      </c>
    </row>
    <row r="22" spans="1:8" ht="31.5" customHeight="1">
      <c r="A22" s="41" t="s">
        <v>15</v>
      </c>
      <c r="B22" s="102" t="s">
        <v>174</v>
      </c>
      <c r="C22" s="111">
        <v>250000</v>
      </c>
      <c r="D22" s="36">
        <f>H22-5564</f>
        <v>256436</v>
      </c>
      <c r="E22" s="89">
        <f t="shared" si="0"/>
        <v>6436</v>
      </c>
      <c r="F22" s="90">
        <f t="shared" si="1"/>
        <v>1.0257</v>
      </c>
      <c r="H22" s="2">
        <v>262000</v>
      </c>
    </row>
    <row r="23" spans="1:8" ht="31.5" customHeight="1">
      <c r="A23" s="39" t="s">
        <v>179</v>
      </c>
      <c r="B23" s="45" t="s">
        <v>66</v>
      </c>
      <c r="C23" s="111">
        <v>380</v>
      </c>
      <c r="D23" s="36">
        <f>H23</f>
        <v>580</v>
      </c>
      <c r="E23" s="89">
        <f t="shared" si="0"/>
        <v>200</v>
      </c>
      <c r="F23" s="90">
        <f t="shared" si="1"/>
        <v>1.5263</v>
      </c>
      <c r="H23" s="2">
        <v>580</v>
      </c>
    </row>
    <row r="24" spans="1:8" ht="33" customHeight="1">
      <c r="A24" s="42" t="s">
        <v>16</v>
      </c>
      <c r="B24" s="47" t="s">
        <v>140</v>
      </c>
      <c r="C24" s="111">
        <v>0</v>
      </c>
      <c r="D24" s="36">
        <f>H24</f>
        <v>0</v>
      </c>
      <c r="E24" s="89" t="str">
        <f>IF(C24=D24,"-",D24-C24)</f>
        <v>-</v>
      </c>
      <c r="F24" s="90" t="str">
        <f>IF(C24=0,"-",D24/C24)</f>
        <v>-</v>
      </c>
      <c r="H24" s="2">
        <v>0</v>
      </c>
    </row>
    <row r="25" spans="1:8" ht="33" customHeight="1">
      <c r="A25" s="42" t="s">
        <v>137</v>
      </c>
      <c r="B25" s="48" t="s">
        <v>60</v>
      </c>
      <c r="C25" s="111">
        <v>0</v>
      </c>
      <c r="D25" s="36">
        <f>H25</f>
        <v>0</v>
      </c>
      <c r="E25" s="89" t="str">
        <f>IF(C25=D25,"-",D25-C25)</f>
        <v>-</v>
      </c>
      <c r="F25" s="90" t="str">
        <f>IF(C25=0,"-",D25/C25)</f>
        <v>-</v>
      </c>
      <c r="H25" s="2">
        <v>0</v>
      </c>
    </row>
    <row r="26" spans="1:8" ht="33" customHeight="1">
      <c r="A26" s="42" t="s">
        <v>138</v>
      </c>
      <c r="B26" s="48" t="s">
        <v>141</v>
      </c>
      <c r="C26" s="111">
        <v>130983</v>
      </c>
      <c r="D26" s="36">
        <f>ROUND('[6]REZERWA NA MIGRACJĘ'!$B$20,0)</f>
        <v>157416</v>
      </c>
      <c r="E26" s="89">
        <f>IF(C26=D26,"-",D26-C26)</f>
        <v>26433</v>
      </c>
      <c r="F26" s="90">
        <f>IF(C26=0,"-",D26/C26)</f>
        <v>1.2018</v>
      </c>
      <c r="H26" s="2">
        <v>148041</v>
      </c>
    </row>
    <row r="27" spans="1:8" ht="33" customHeight="1">
      <c r="A27" s="42" t="s">
        <v>139</v>
      </c>
      <c r="B27" s="48" t="s">
        <v>142</v>
      </c>
      <c r="C27" s="111">
        <v>0</v>
      </c>
      <c r="D27" s="36">
        <f>ROUND(H27-('[6]REZERWA NA MIGRACJĘ'!$M$20-'[7]REZERWA NA MIGRACJĘ'!$M$20),0)+21</f>
        <v>0</v>
      </c>
      <c r="E27" s="89" t="str">
        <f>IF(C27=D27,"-",D27-C27)</f>
        <v>-</v>
      </c>
      <c r="F27" s="90" t="str">
        <f>IF(C27=0,"-",D27/C27)</f>
        <v>-</v>
      </c>
      <c r="H27" s="2">
        <v>0</v>
      </c>
    </row>
    <row r="28" spans="1:6" s="5" customFormat="1" ht="31.5" customHeight="1">
      <c r="A28" s="43" t="s">
        <v>68</v>
      </c>
      <c r="B28" s="49" t="s">
        <v>69</v>
      </c>
      <c r="C28" s="112">
        <v>0</v>
      </c>
      <c r="D28" s="119">
        <f>C28</f>
        <v>0</v>
      </c>
      <c r="E28" s="15" t="str">
        <f t="shared" si="0"/>
        <v>-</v>
      </c>
      <c r="F28" s="120" t="str">
        <f t="shared" si="1"/>
        <v>-</v>
      </c>
    </row>
    <row r="29" spans="1:6" s="5" customFormat="1" ht="31.5" customHeight="1">
      <c r="A29" s="43" t="s">
        <v>67</v>
      </c>
      <c r="B29" s="49" t="s">
        <v>70</v>
      </c>
      <c r="C29" s="112">
        <v>53126</v>
      </c>
      <c r="D29" s="119">
        <f>C29</f>
        <v>53126</v>
      </c>
      <c r="E29" s="15" t="str">
        <f t="shared" si="0"/>
        <v>-</v>
      </c>
      <c r="F29" s="120">
        <f t="shared" si="1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16053</v>
      </c>
      <c r="D30" s="34">
        <f>D31+D32+D33+D41+D42+D48+D49+D50+D47</f>
        <v>16053</v>
      </c>
      <c r="E30" s="13" t="str">
        <f>IF(C30=D30,"-",D30-C30)</f>
        <v>-</v>
      </c>
      <c r="F30" s="91">
        <f t="shared" si="1"/>
        <v>1</v>
      </c>
    </row>
    <row r="31" spans="1:6" ht="28.5" customHeight="1">
      <c r="A31" s="42" t="s">
        <v>19</v>
      </c>
      <c r="B31" s="51" t="s">
        <v>20</v>
      </c>
      <c r="C31" s="94">
        <v>691</v>
      </c>
      <c r="D31" s="35">
        <f>C31</f>
        <v>691</v>
      </c>
      <c r="E31" s="89" t="str">
        <f aca="true" t="shared" si="2" ref="E31:E51">IF(C31=D31,"-",D31-C31)</f>
        <v>-</v>
      </c>
      <c r="F31" s="90">
        <f t="shared" si="1"/>
        <v>1</v>
      </c>
    </row>
    <row r="32" spans="1:6" ht="28.5" customHeight="1">
      <c r="A32" s="42" t="s">
        <v>21</v>
      </c>
      <c r="B32" s="51" t="s">
        <v>22</v>
      </c>
      <c r="C32" s="94">
        <v>1279</v>
      </c>
      <c r="D32" s="35">
        <f>C32</f>
        <v>1279</v>
      </c>
      <c r="E32" s="89" t="str">
        <f t="shared" si="2"/>
        <v>-</v>
      </c>
      <c r="F32" s="90">
        <f t="shared" si="1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49</v>
      </c>
      <c r="D33" s="35">
        <f>D34+D36+D37+D38+D39+D40</f>
        <v>49</v>
      </c>
      <c r="E33" s="89" t="str">
        <f t="shared" si="2"/>
        <v>-</v>
      </c>
      <c r="F33" s="90">
        <f t="shared" si="1"/>
        <v>1</v>
      </c>
    </row>
    <row r="34" spans="1:6" ht="28.5" customHeight="1">
      <c r="A34" s="53" t="s">
        <v>45</v>
      </c>
      <c r="B34" s="54" t="s">
        <v>38</v>
      </c>
      <c r="C34" s="94">
        <v>3</v>
      </c>
      <c r="D34" s="35">
        <f>C34</f>
        <v>3</v>
      </c>
      <c r="E34" s="89" t="str">
        <f t="shared" si="2"/>
        <v>-</v>
      </c>
      <c r="F34" s="90">
        <f t="shared" si="1"/>
        <v>1</v>
      </c>
    </row>
    <row r="35" spans="1:6" ht="28.5" customHeight="1">
      <c r="A35" s="53" t="s">
        <v>46</v>
      </c>
      <c r="B35" s="55" t="s">
        <v>39</v>
      </c>
      <c r="C35" s="94">
        <v>3</v>
      </c>
      <c r="D35" s="35">
        <f aca="true" t="shared" si="3" ref="D35:D47">C35</f>
        <v>3</v>
      </c>
      <c r="E35" s="89" t="str">
        <f t="shared" si="2"/>
        <v>-</v>
      </c>
      <c r="F35" s="90">
        <f t="shared" si="1"/>
        <v>1</v>
      </c>
    </row>
    <row r="36" spans="1:6" ht="28.5" customHeight="1">
      <c r="A36" s="53" t="s">
        <v>47</v>
      </c>
      <c r="B36" s="54" t="s">
        <v>40</v>
      </c>
      <c r="C36" s="94">
        <v>3</v>
      </c>
      <c r="D36" s="35">
        <f t="shared" si="3"/>
        <v>3</v>
      </c>
      <c r="E36" s="89" t="str">
        <f t="shared" si="2"/>
        <v>-</v>
      </c>
      <c r="F36" s="90">
        <f t="shared" si="1"/>
        <v>1</v>
      </c>
    </row>
    <row r="37" spans="1:6" ht="28.5" customHeight="1">
      <c r="A37" s="53" t="s">
        <v>48</v>
      </c>
      <c r="B37" s="54" t="s">
        <v>41</v>
      </c>
      <c r="C37" s="94">
        <v>0</v>
      </c>
      <c r="D37" s="35">
        <f t="shared" si="3"/>
        <v>0</v>
      </c>
      <c r="E37" s="89" t="str">
        <f t="shared" si="2"/>
        <v>-</v>
      </c>
      <c r="F37" s="90" t="str">
        <f t="shared" si="1"/>
        <v>-</v>
      </c>
    </row>
    <row r="38" spans="1:6" ht="28.5" customHeight="1">
      <c r="A38" s="53" t="s">
        <v>49</v>
      </c>
      <c r="B38" s="54" t="s">
        <v>42</v>
      </c>
      <c r="C38" s="94">
        <v>0</v>
      </c>
      <c r="D38" s="35">
        <f t="shared" si="3"/>
        <v>0</v>
      </c>
      <c r="E38" s="89" t="str">
        <f t="shared" si="2"/>
        <v>-</v>
      </c>
      <c r="F38" s="90" t="str">
        <f t="shared" si="1"/>
        <v>-</v>
      </c>
    </row>
    <row r="39" spans="1:6" ht="28.5" customHeight="1">
      <c r="A39" s="53" t="s">
        <v>50</v>
      </c>
      <c r="B39" s="54" t="s">
        <v>43</v>
      </c>
      <c r="C39" s="94">
        <v>43</v>
      </c>
      <c r="D39" s="35">
        <f t="shared" si="3"/>
        <v>43</v>
      </c>
      <c r="E39" s="89" t="str">
        <f t="shared" si="2"/>
        <v>-</v>
      </c>
      <c r="F39" s="90">
        <f t="shared" si="1"/>
        <v>1</v>
      </c>
    </row>
    <row r="40" spans="1:6" ht="28.5" customHeight="1">
      <c r="A40" s="53" t="s">
        <v>51</v>
      </c>
      <c r="B40" s="54" t="s">
        <v>44</v>
      </c>
      <c r="C40" s="94">
        <v>0</v>
      </c>
      <c r="D40" s="35">
        <f t="shared" si="3"/>
        <v>0</v>
      </c>
      <c r="E40" s="89" t="str">
        <f t="shared" si="2"/>
        <v>-</v>
      </c>
      <c r="F40" s="90" t="str">
        <f t="shared" si="1"/>
        <v>-</v>
      </c>
    </row>
    <row r="41" spans="1:6" ht="28.5" customHeight="1">
      <c r="A41" s="42" t="s">
        <v>24</v>
      </c>
      <c r="B41" s="51" t="s">
        <v>25</v>
      </c>
      <c r="C41" s="35">
        <v>9966</v>
      </c>
      <c r="D41" s="35">
        <f t="shared" si="3"/>
        <v>9966</v>
      </c>
      <c r="E41" s="89" t="str">
        <f t="shared" si="2"/>
        <v>-</v>
      </c>
      <c r="F41" s="90">
        <f t="shared" si="1"/>
        <v>1</v>
      </c>
    </row>
    <row r="42" spans="1:6" ht="28.5" customHeight="1">
      <c r="A42" s="42" t="s">
        <v>26</v>
      </c>
      <c r="B42" s="52" t="s">
        <v>61</v>
      </c>
      <c r="C42" s="110">
        <f>C43+C44+C45+C46</f>
        <v>2014</v>
      </c>
      <c r="D42" s="35">
        <f>SUM(D43:D46)</f>
        <v>2014</v>
      </c>
      <c r="E42" s="89" t="str">
        <f t="shared" si="2"/>
        <v>-</v>
      </c>
      <c r="F42" s="90">
        <f t="shared" si="1"/>
        <v>1</v>
      </c>
    </row>
    <row r="43" spans="1:6" ht="28.5" customHeight="1">
      <c r="A43" s="53" t="s">
        <v>56</v>
      </c>
      <c r="B43" s="54" t="s">
        <v>52</v>
      </c>
      <c r="C43" s="35">
        <v>1514</v>
      </c>
      <c r="D43" s="35">
        <f>C43</f>
        <v>1514</v>
      </c>
      <c r="E43" s="89" t="str">
        <f t="shared" si="2"/>
        <v>-</v>
      </c>
      <c r="F43" s="90">
        <f t="shared" si="1"/>
        <v>1</v>
      </c>
    </row>
    <row r="44" spans="1:6" ht="28.5" customHeight="1">
      <c r="A44" s="53" t="s">
        <v>57</v>
      </c>
      <c r="B44" s="54" t="s">
        <v>53</v>
      </c>
      <c r="C44" s="35">
        <v>244</v>
      </c>
      <c r="D44" s="35">
        <f>C44</f>
        <v>244</v>
      </c>
      <c r="E44" s="89" t="str">
        <f t="shared" si="2"/>
        <v>-</v>
      </c>
      <c r="F44" s="90">
        <f t="shared" si="1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3"/>
        <v>0</v>
      </c>
      <c r="E45" s="89" t="str">
        <f t="shared" si="2"/>
        <v>-</v>
      </c>
      <c r="F45" s="90" t="str">
        <f t="shared" si="1"/>
        <v>-</v>
      </c>
    </row>
    <row r="46" spans="1:6" ht="28.5" customHeight="1">
      <c r="A46" s="53" t="s">
        <v>59</v>
      </c>
      <c r="B46" s="54" t="s">
        <v>55</v>
      </c>
      <c r="C46" s="35">
        <v>256</v>
      </c>
      <c r="D46" s="35">
        <f>C46</f>
        <v>256</v>
      </c>
      <c r="E46" s="89" t="str">
        <f t="shared" si="2"/>
        <v>-</v>
      </c>
      <c r="F46" s="90">
        <f t="shared" si="1"/>
        <v>1</v>
      </c>
    </row>
    <row r="47" spans="1:6" ht="28.5" customHeight="1">
      <c r="A47" s="42" t="s">
        <v>27</v>
      </c>
      <c r="B47" s="51" t="s">
        <v>28</v>
      </c>
      <c r="C47" s="94">
        <v>0</v>
      </c>
      <c r="D47" s="35">
        <f t="shared" si="3"/>
        <v>0</v>
      </c>
      <c r="E47" s="89" t="str">
        <f t="shared" si="2"/>
        <v>-</v>
      </c>
      <c r="F47" s="90" t="str">
        <f aca="true" t="shared" si="4" ref="F47:F55">IF(C47=0,"-",D47/C47)</f>
        <v>-</v>
      </c>
    </row>
    <row r="48" spans="1:6" ht="48" customHeight="1">
      <c r="A48" s="42" t="s">
        <v>29</v>
      </c>
      <c r="B48" s="51" t="s">
        <v>116</v>
      </c>
      <c r="C48" s="111">
        <v>1659</v>
      </c>
      <c r="D48" s="35">
        <f>C48</f>
        <v>1659</v>
      </c>
      <c r="E48" s="89" t="str">
        <f t="shared" si="2"/>
        <v>-</v>
      </c>
      <c r="F48" s="92">
        <f t="shared" si="4"/>
        <v>1</v>
      </c>
    </row>
    <row r="49" spans="1:6" ht="43.5" customHeight="1">
      <c r="A49" s="42" t="s">
        <v>30</v>
      </c>
      <c r="B49" s="51" t="s">
        <v>31</v>
      </c>
      <c r="C49" s="111">
        <v>150</v>
      </c>
      <c r="D49" s="35">
        <f>C49</f>
        <v>150</v>
      </c>
      <c r="E49" s="89" t="str">
        <f t="shared" si="2"/>
        <v>-</v>
      </c>
      <c r="F49" s="92">
        <f t="shared" si="4"/>
        <v>1</v>
      </c>
    </row>
    <row r="50" spans="1:6" ht="35.25" customHeight="1">
      <c r="A50" s="42" t="s">
        <v>32</v>
      </c>
      <c r="B50" s="51" t="s">
        <v>33</v>
      </c>
      <c r="C50" s="94">
        <v>245</v>
      </c>
      <c r="D50" s="35">
        <f>C50</f>
        <v>245</v>
      </c>
      <c r="E50" s="89" t="str">
        <f t="shared" si="2"/>
        <v>-</v>
      </c>
      <c r="F50" s="90">
        <f t="shared" si="4"/>
        <v>1</v>
      </c>
    </row>
    <row r="51" spans="1:6" s="3" customFormat="1" ht="30" customHeight="1">
      <c r="A51" s="44" t="s">
        <v>34</v>
      </c>
      <c r="B51" s="56" t="s">
        <v>175</v>
      </c>
      <c r="C51" s="38">
        <f>SUM(C52:C55)</f>
        <v>18113</v>
      </c>
      <c r="D51" s="38">
        <f>SUM(D52:D55)</f>
        <v>18113</v>
      </c>
      <c r="E51" s="13" t="str">
        <f t="shared" si="2"/>
        <v>-</v>
      </c>
      <c r="F51" s="93">
        <f t="shared" si="4"/>
        <v>1</v>
      </c>
    </row>
    <row r="52" spans="1:6" ht="42" customHeight="1">
      <c r="A52" s="42" t="s">
        <v>119</v>
      </c>
      <c r="B52" s="51" t="s">
        <v>144</v>
      </c>
      <c r="C52" s="94">
        <v>15</v>
      </c>
      <c r="D52" s="35">
        <f>C52</f>
        <v>15</v>
      </c>
      <c r="E52" s="94" t="str">
        <f>IF(C52=D52,"-",D52-C52)</f>
        <v>-</v>
      </c>
      <c r="F52" s="100">
        <f t="shared" si="4"/>
        <v>1</v>
      </c>
    </row>
    <row r="53" spans="1:6" ht="31.5" customHeight="1">
      <c r="A53" s="42" t="s">
        <v>35</v>
      </c>
      <c r="B53" s="51" t="s">
        <v>63</v>
      </c>
      <c r="C53" s="94">
        <v>17598</v>
      </c>
      <c r="D53" s="35">
        <f>C53</f>
        <v>17598</v>
      </c>
      <c r="E53" s="94" t="str">
        <f>IF(C53=D53,"-",D53-C53)</f>
        <v>-</v>
      </c>
      <c r="F53" s="100">
        <f t="shared" si="4"/>
        <v>1</v>
      </c>
    </row>
    <row r="54" spans="1:6" ht="31.5" customHeight="1">
      <c r="A54" s="42" t="s">
        <v>36</v>
      </c>
      <c r="B54" s="51" t="s">
        <v>121</v>
      </c>
      <c r="C54" s="94">
        <v>0</v>
      </c>
      <c r="D54" s="35">
        <f>C54</f>
        <v>0</v>
      </c>
      <c r="E54" s="94" t="str">
        <f>IF(C54=D54,"-",D54-C54)</f>
        <v>-</v>
      </c>
      <c r="F54" s="100" t="str">
        <f t="shared" si="4"/>
        <v>-</v>
      </c>
    </row>
    <row r="55" spans="1:6" ht="31.5" customHeight="1">
      <c r="A55" s="42" t="s">
        <v>120</v>
      </c>
      <c r="B55" s="51" t="s">
        <v>122</v>
      </c>
      <c r="C55" s="94">
        <v>500</v>
      </c>
      <c r="D55" s="35">
        <f>C55</f>
        <v>500</v>
      </c>
      <c r="E55" s="94" t="str">
        <f>IF(C55=D55,"-",D55-C55)</f>
        <v>-</v>
      </c>
      <c r="F55" s="100">
        <f t="shared" si="4"/>
        <v>1</v>
      </c>
    </row>
    <row r="56" spans="1:6" ht="32.25" customHeight="1">
      <c r="A56" s="44" t="s">
        <v>127</v>
      </c>
      <c r="B56" s="56" t="s">
        <v>155</v>
      </c>
      <c r="C56" s="113">
        <v>4100</v>
      </c>
      <c r="D56" s="38">
        <f>C56</f>
        <v>4100</v>
      </c>
      <c r="E56" s="13" t="str">
        <f>IF(C56=D56,"-",D56-C56)</f>
        <v>-</v>
      </c>
      <c r="F56" s="93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G1" sqref="G1:AA16384"/>
      <selection pane="topRight" activeCell="G1" sqref="G1:AA16384"/>
      <selection pane="bottomLeft" activeCell="G1" sqref="G1:AA16384"/>
      <selection pane="bottomRight" activeCell="G1" sqref="G1:AA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5.125" style="2" bestFit="1" customWidth="1"/>
    <col min="7" max="8" width="0" style="2" hidden="1" customWidth="1"/>
    <col min="9" max="9" width="15.125" style="2" hidden="1" customWidth="1"/>
    <col min="10" max="27" width="0" style="2" hidden="1" customWidth="1"/>
    <col min="28" max="16384" width="9.125" style="2" customWidth="1"/>
  </cols>
  <sheetData>
    <row r="1" spans="1:6" s="59" customFormat="1" ht="38.25" customHeight="1">
      <c r="A1" s="129" t="str">
        <f>NFZ!A1</f>
        <v>ZMIANA PLANU FINANSOWEGO NARODOWEGO FUNDUSZU ZDROWIA NA 2010 ROK Z 16 GRUDNIA 2009 ROKU</v>
      </c>
      <c r="B1" s="129"/>
      <c r="C1" s="129"/>
      <c r="D1" s="129"/>
      <c r="E1" s="129"/>
      <c r="F1" s="129"/>
    </row>
    <row r="2" spans="1:3" s="61" customFormat="1" ht="33" customHeight="1">
      <c r="A2" s="130" t="s">
        <v>84</v>
      </c>
      <c r="B2" s="130"/>
      <c r="C2" s="130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2" t="s">
        <v>165</v>
      </c>
      <c r="B4" s="131" t="s">
        <v>62</v>
      </c>
      <c r="C4" s="127" t="s">
        <v>202</v>
      </c>
      <c r="D4" s="124" t="s">
        <v>159</v>
      </c>
      <c r="E4" s="126" t="s">
        <v>164</v>
      </c>
      <c r="F4" s="126" t="s">
        <v>163</v>
      </c>
    </row>
    <row r="5" spans="1:6" s="6" customFormat="1" ht="33" customHeight="1">
      <c r="A5" s="131"/>
      <c r="B5" s="131"/>
      <c r="C5" s="128"/>
      <c r="D5" s="125"/>
      <c r="E5" s="126"/>
      <c r="F5" s="126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9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1836881</v>
      </c>
      <c r="D7" s="16">
        <f>D8+D9+D10+D12+D13+D14+D15+D16+D17+D18+D19+D20+D21+D22+D24+D25+D26+D27</f>
        <v>1840495</v>
      </c>
      <c r="E7" s="13">
        <f>IF(C7=D7,"-",D7-C7)</f>
        <v>3614</v>
      </c>
      <c r="F7" s="88">
        <f>IF(C7=0,"-",D7/C7)</f>
        <v>1.002</v>
      </c>
      <c r="H7" s="3">
        <v>1840495</v>
      </c>
      <c r="I7" s="16">
        <f>D7-H7</f>
        <v>0</v>
      </c>
    </row>
    <row r="8" spans="1:8" ht="31.5" customHeight="1">
      <c r="A8" s="40" t="s">
        <v>1</v>
      </c>
      <c r="B8" s="102" t="s">
        <v>166</v>
      </c>
      <c r="C8" s="111">
        <v>218958</v>
      </c>
      <c r="D8" s="36">
        <f>H8</f>
        <v>273500</v>
      </c>
      <c r="E8" s="89">
        <f aca="true" t="shared" si="0" ref="E8:E29">IF(C8=D8,"-",D8-C8)</f>
        <v>54542</v>
      </c>
      <c r="F8" s="90">
        <f aca="true" t="shared" si="1" ref="F8:F46">IF(C8=0,"-",D8/C8)</f>
        <v>1.2491</v>
      </c>
      <c r="H8" s="2">
        <v>273500</v>
      </c>
    </row>
    <row r="9" spans="1:8" ht="31.5" customHeight="1">
      <c r="A9" s="40" t="s">
        <v>2</v>
      </c>
      <c r="B9" s="102" t="s">
        <v>167</v>
      </c>
      <c r="C9" s="111">
        <v>142352</v>
      </c>
      <c r="D9" s="36">
        <f>ROUND(H9-('[6]REZERWA NA MIGRACJĘ'!$C$21-'[7]REZERWA NA MIGRACJĘ'!$C$21),0)</f>
        <v>132472</v>
      </c>
      <c r="E9" s="89">
        <f t="shared" si="0"/>
        <v>-9880</v>
      </c>
      <c r="F9" s="90">
        <f t="shared" si="1"/>
        <v>0.9306</v>
      </c>
      <c r="H9" s="2">
        <v>133126</v>
      </c>
    </row>
    <row r="10" spans="1:8" ht="31.5" customHeight="1">
      <c r="A10" s="40" t="s">
        <v>3</v>
      </c>
      <c r="B10" s="102" t="s">
        <v>158</v>
      </c>
      <c r="C10" s="111">
        <v>728358</v>
      </c>
      <c r="D10" s="36">
        <f>ROUND(H10-('[6]REZERWA NA MIGRACJĘ'!$D$21-'[7]REZERWA NA MIGRACJĘ'!$D$21),0)+31509</f>
        <v>697666</v>
      </c>
      <c r="E10" s="89">
        <f t="shared" si="0"/>
        <v>-30692</v>
      </c>
      <c r="F10" s="90">
        <f t="shared" si="1"/>
        <v>0.9579</v>
      </c>
      <c r="H10" s="2">
        <v>682903</v>
      </c>
    </row>
    <row r="11" spans="1:8" ht="31.5" customHeight="1">
      <c r="A11" s="103" t="s">
        <v>64</v>
      </c>
      <c r="B11" s="45" t="s">
        <v>65</v>
      </c>
      <c r="C11" s="111">
        <v>18555</v>
      </c>
      <c r="D11" s="36">
        <f>ROUND(H11-('[6]REZERWA NA MIGRACJĘ'!$E$21-'[7]REZERWA NA MIGRACJĘ'!$E$21),0)</f>
        <v>31477</v>
      </c>
      <c r="E11" s="89">
        <f t="shared" si="0"/>
        <v>12922</v>
      </c>
      <c r="F11" s="90">
        <f t="shared" si="1"/>
        <v>1.6964</v>
      </c>
      <c r="H11" s="2">
        <v>32421</v>
      </c>
    </row>
    <row r="12" spans="1:8" ht="31.5" customHeight="1">
      <c r="A12" s="40" t="s">
        <v>4</v>
      </c>
      <c r="B12" s="102" t="s">
        <v>173</v>
      </c>
      <c r="C12" s="111">
        <v>56317</v>
      </c>
      <c r="D12" s="36">
        <f>ROUND(H12-('[6]REZERWA NA MIGRACJĘ'!$F$21-'[7]REZERWA NA MIGRACJĘ'!$F$21),0)</f>
        <v>53745</v>
      </c>
      <c r="E12" s="89">
        <f t="shared" si="0"/>
        <v>-2572</v>
      </c>
      <c r="F12" s="90">
        <f t="shared" si="1"/>
        <v>0.9543</v>
      </c>
      <c r="H12" s="2">
        <v>54342</v>
      </c>
    </row>
    <row r="13" spans="1:8" ht="31.5" customHeight="1">
      <c r="A13" s="40" t="s">
        <v>5</v>
      </c>
      <c r="B13" s="102" t="s">
        <v>168</v>
      </c>
      <c r="C13" s="111">
        <v>54851</v>
      </c>
      <c r="D13" s="36">
        <f>ROUND(H13-('[6]REZERWA NA MIGRACJĘ'!$G$21-'[7]REZERWA NA MIGRACJĘ'!$G$21),0)</f>
        <v>47663</v>
      </c>
      <c r="E13" s="89">
        <f t="shared" si="0"/>
        <v>-7188</v>
      </c>
      <c r="F13" s="90">
        <f t="shared" si="1"/>
        <v>0.869</v>
      </c>
      <c r="H13" s="2">
        <v>48100</v>
      </c>
    </row>
    <row r="14" spans="1:8" ht="31.5" customHeight="1">
      <c r="A14" s="40" t="s">
        <v>6</v>
      </c>
      <c r="B14" s="102" t="s">
        <v>177</v>
      </c>
      <c r="C14" s="111">
        <v>25785</v>
      </c>
      <c r="D14" s="36">
        <f>ROUND(H14-('[6]REZERWA NA MIGRACJĘ'!$H$21-'[7]REZERWA NA MIGRACJĘ'!$H$21),0)</f>
        <v>21239</v>
      </c>
      <c r="E14" s="89">
        <f t="shared" si="0"/>
        <v>-4546</v>
      </c>
      <c r="F14" s="90">
        <f t="shared" si="1"/>
        <v>0.8237</v>
      </c>
      <c r="H14" s="2">
        <v>21654</v>
      </c>
    </row>
    <row r="15" spans="1:8" ht="31.5" customHeight="1">
      <c r="A15" s="40" t="s">
        <v>7</v>
      </c>
      <c r="B15" s="102" t="s">
        <v>176</v>
      </c>
      <c r="C15" s="111">
        <v>12365</v>
      </c>
      <c r="D15" s="36">
        <f>ROUND(H15-('[6]REZERWA NA MIGRACJĘ'!$I$21-'[7]REZERWA NA MIGRACJĘ'!$I$21),0)</f>
        <v>11630</v>
      </c>
      <c r="E15" s="89">
        <f>IF(C15=D15,"-",D15-C15)</f>
        <v>-735</v>
      </c>
      <c r="F15" s="90">
        <f>IF(C15=0,"-",D15/C15)</f>
        <v>0.9406</v>
      </c>
      <c r="H15" s="2">
        <v>11653</v>
      </c>
    </row>
    <row r="16" spans="1:8" ht="31.5" customHeight="1">
      <c r="A16" s="40" t="s">
        <v>8</v>
      </c>
      <c r="B16" s="102" t="s">
        <v>169</v>
      </c>
      <c r="C16" s="111">
        <v>81378</v>
      </c>
      <c r="D16" s="36">
        <f>ROUND(H16-('[6]REZERWA NA MIGRACJĘ'!$J21-'[7]REZERWA NA MIGRACJĘ'!$J$21),0)</f>
        <v>73875</v>
      </c>
      <c r="E16" s="89">
        <f t="shared" si="0"/>
        <v>-7503</v>
      </c>
      <c r="F16" s="90">
        <f t="shared" si="1"/>
        <v>0.9078</v>
      </c>
      <c r="H16" s="2">
        <v>74235</v>
      </c>
    </row>
    <row r="17" spans="1:8" ht="31.5" customHeight="1">
      <c r="A17" s="40" t="s">
        <v>9</v>
      </c>
      <c r="B17" s="102" t="s">
        <v>170</v>
      </c>
      <c r="C17" s="111">
        <v>18642</v>
      </c>
      <c r="D17" s="36">
        <f>ROUND(H17,0)</f>
        <v>12500</v>
      </c>
      <c r="E17" s="89">
        <f t="shared" si="0"/>
        <v>-6142</v>
      </c>
      <c r="F17" s="90">
        <f t="shared" si="1"/>
        <v>0.6705</v>
      </c>
      <c r="H17" s="2">
        <v>12500</v>
      </c>
    </row>
    <row r="18" spans="1:8" ht="31.5" customHeight="1">
      <c r="A18" s="40" t="s">
        <v>10</v>
      </c>
      <c r="B18" s="102" t="s">
        <v>178</v>
      </c>
      <c r="C18" s="111">
        <v>2200</v>
      </c>
      <c r="D18" s="36">
        <f>ROUND(H18,0)</f>
        <v>2081</v>
      </c>
      <c r="E18" s="89">
        <f t="shared" si="0"/>
        <v>-119</v>
      </c>
      <c r="F18" s="90">
        <f t="shared" si="1"/>
        <v>0.9459</v>
      </c>
      <c r="H18" s="2">
        <v>2081</v>
      </c>
    </row>
    <row r="19" spans="1:8" ht="46.5" customHeight="1">
      <c r="A19" s="40" t="s">
        <v>11</v>
      </c>
      <c r="B19" s="102" t="s">
        <v>171</v>
      </c>
      <c r="C19" s="111">
        <v>4618</v>
      </c>
      <c r="D19" s="36">
        <f>ROUND(H19-('[6]REZERWA NA MIGRACJĘ'!$K$21-'[7]REZERWA NA MIGRACJĘ'!$K$21),0)-18</f>
        <v>4617</v>
      </c>
      <c r="E19" s="89">
        <f t="shared" si="0"/>
        <v>-1</v>
      </c>
      <c r="F19" s="90">
        <f t="shared" si="1"/>
        <v>0.9998</v>
      </c>
      <c r="H19" s="2">
        <v>4662</v>
      </c>
    </row>
    <row r="20" spans="1:8" ht="31.5" customHeight="1">
      <c r="A20" s="40" t="s">
        <v>12</v>
      </c>
      <c r="B20" s="102" t="s">
        <v>172</v>
      </c>
      <c r="C20" s="111">
        <v>34349</v>
      </c>
      <c r="D20" s="36">
        <f>ROUND(H20-('[6]REZERWA NA MIGRACJĘ'!$L$21-'[7]REZERWA NA MIGRACJĘ'!$L$21),0)</f>
        <v>35331</v>
      </c>
      <c r="E20" s="89">
        <f t="shared" si="0"/>
        <v>982</v>
      </c>
      <c r="F20" s="90">
        <f t="shared" si="1"/>
        <v>1.0286</v>
      </c>
      <c r="H20" s="2">
        <v>37523</v>
      </c>
    </row>
    <row r="21" spans="1:8" ht="31.5" customHeight="1">
      <c r="A21" s="40" t="s">
        <v>14</v>
      </c>
      <c r="B21" s="46" t="s">
        <v>13</v>
      </c>
      <c r="C21" s="111">
        <v>21000</v>
      </c>
      <c r="D21" s="36">
        <f>H21</f>
        <v>21800</v>
      </c>
      <c r="E21" s="89">
        <f t="shared" si="0"/>
        <v>800</v>
      </c>
      <c r="F21" s="90">
        <f t="shared" si="1"/>
        <v>1.0381</v>
      </c>
      <c r="H21" s="2">
        <v>21800</v>
      </c>
    </row>
    <row r="22" spans="1:8" ht="31.5" customHeight="1">
      <c r="A22" s="41" t="s">
        <v>15</v>
      </c>
      <c r="B22" s="102" t="s">
        <v>174</v>
      </c>
      <c r="C22" s="111">
        <v>303019</v>
      </c>
      <c r="D22" s="36">
        <f>H22-31509</f>
        <v>275125</v>
      </c>
      <c r="E22" s="89">
        <f t="shared" si="0"/>
        <v>-27894</v>
      </c>
      <c r="F22" s="90">
        <f t="shared" si="1"/>
        <v>0.9079</v>
      </c>
      <c r="H22" s="2">
        <v>306634</v>
      </c>
    </row>
    <row r="23" spans="1:8" ht="31.5" customHeight="1">
      <c r="A23" s="39" t="s">
        <v>179</v>
      </c>
      <c r="B23" s="45" t="s">
        <v>66</v>
      </c>
      <c r="C23" s="111">
        <v>1393</v>
      </c>
      <c r="D23" s="36">
        <f>H23</f>
        <v>1500</v>
      </c>
      <c r="E23" s="89">
        <f t="shared" si="0"/>
        <v>107</v>
      </c>
      <c r="F23" s="90">
        <f t="shared" si="1"/>
        <v>1.0768</v>
      </c>
      <c r="H23" s="2">
        <v>1500</v>
      </c>
    </row>
    <row r="24" spans="1:8" ht="33" customHeight="1">
      <c r="A24" s="42" t="s">
        <v>16</v>
      </c>
      <c r="B24" s="47" t="s">
        <v>140</v>
      </c>
      <c r="C24" s="111">
        <v>0</v>
      </c>
      <c r="D24" s="36">
        <f>H24</f>
        <v>0</v>
      </c>
      <c r="E24" s="89" t="str">
        <f>IF(C24=D24,"-",D24-C24)</f>
        <v>-</v>
      </c>
      <c r="F24" s="90" t="str">
        <f>IF(C24=0,"-",D24/C24)</f>
        <v>-</v>
      </c>
      <c r="H24" s="2">
        <v>0</v>
      </c>
    </row>
    <row r="25" spans="1:8" ht="33" customHeight="1">
      <c r="A25" s="42" t="s">
        <v>137</v>
      </c>
      <c r="B25" s="48" t="s">
        <v>60</v>
      </c>
      <c r="C25" s="111">
        <v>0</v>
      </c>
      <c r="D25" s="36">
        <f>H25</f>
        <v>0</v>
      </c>
      <c r="E25" s="89" t="str">
        <f>IF(C25=D25,"-",D25-C25)</f>
        <v>-</v>
      </c>
      <c r="F25" s="90" t="str">
        <f>IF(C25=0,"-",D25/C25)</f>
        <v>-</v>
      </c>
      <c r="H25" s="2">
        <v>0</v>
      </c>
    </row>
    <row r="26" spans="1:8" ht="33" customHeight="1">
      <c r="A26" s="42" t="s">
        <v>138</v>
      </c>
      <c r="B26" s="48" t="s">
        <v>141</v>
      </c>
      <c r="C26" s="111">
        <v>132689</v>
      </c>
      <c r="D26" s="36">
        <f>ROUND('[6]REZERWA NA MIGRACJĘ'!$B$21,0)</f>
        <v>177251</v>
      </c>
      <c r="E26" s="89">
        <f>IF(C26=D26,"-",D26-C26)</f>
        <v>44562</v>
      </c>
      <c r="F26" s="90">
        <f>IF(C26=0,"-",D26/C26)</f>
        <v>1.3358</v>
      </c>
      <c r="H26" s="2">
        <v>155782</v>
      </c>
    </row>
    <row r="27" spans="1:8" ht="33" customHeight="1">
      <c r="A27" s="42" t="s">
        <v>139</v>
      </c>
      <c r="B27" s="48" t="s">
        <v>142</v>
      </c>
      <c r="C27" s="111">
        <v>0</v>
      </c>
      <c r="D27" s="36">
        <f>ROUND(H27-('[6]REZERWA NA MIGRACJĘ'!$M$21-'[7]REZERWA NA MIGRACJĘ'!$M$21),0)+18</f>
        <v>0</v>
      </c>
      <c r="E27" s="89" t="str">
        <f>IF(C27=D27,"-",D27-C27)</f>
        <v>-</v>
      </c>
      <c r="F27" s="90" t="str">
        <f>IF(C27=0,"-",D27/C27)</f>
        <v>-</v>
      </c>
      <c r="H27" s="2">
        <v>0</v>
      </c>
    </row>
    <row r="28" spans="1:6" s="5" customFormat="1" ht="31.5" customHeight="1">
      <c r="A28" s="43" t="s">
        <v>68</v>
      </c>
      <c r="B28" s="49" t="s">
        <v>69</v>
      </c>
      <c r="C28" s="112">
        <v>0</v>
      </c>
      <c r="D28" s="119">
        <f>C28</f>
        <v>0</v>
      </c>
      <c r="E28" s="15" t="str">
        <f t="shared" si="0"/>
        <v>-</v>
      </c>
      <c r="F28" s="120" t="str">
        <f t="shared" si="1"/>
        <v>-</v>
      </c>
    </row>
    <row r="29" spans="1:6" s="5" customFormat="1" ht="31.5" customHeight="1">
      <c r="A29" s="43" t="s">
        <v>67</v>
      </c>
      <c r="B29" s="49" t="s">
        <v>70</v>
      </c>
      <c r="C29" s="112">
        <v>86352</v>
      </c>
      <c r="D29" s="119">
        <f>C29</f>
        <v>86352</v>
      </c>
      <c r="E29" s="15" t="str">
        <f t="shared" si="0"/>
        <v>-</v>
      </c>
      <c r="F29" s="120">
        <f t="shared" si="1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17917</v>
      </c>
      <c r="D30" s="34">
        <f>D31+D32+D33+D41+D42+D48+D49+D50+D47</f>
        <v>17917</v>
      </c>
      <c r="E30" s="13" t="str">
        <f>IF(C30=D30,"-",D30-C30)</f>
        <v>-</v>
      </c>
      <c r="F30" s="91">
        <f t="shared" si="1"/>
        <v>1</v>
      </c>
    </row>
    <row r="31" spans="1:6" ht="28.5" customHeight="1">
      <c r="A31" s="42" t="s">
        <v>19</v>
      </c>
      <c r="B31" s="51" t="s">
        <v>20</v>
      </c>
      <c r="C31" s="94">
        <v>732</v>
      </c>
      <c r="D31" s="35">
        <f>C31</f>
        <v>732</v>
      </c>
      <c r="E31" s="89" t="str">
        <f aca="true" t="shared" si="2" ref="E31:E51">IF(C31=D31,"-",D31-C31)</f>
        <v>-</v>
      </c>
      <c r="F31" s="90">
        <f t="shared" si="1"/>
        <v>1</v>
      </c>
    </row>
    <row r="32" spans="1:6" ht="28.5" customHeight="1">
      <c r="A32" s="42" t="s">
        <v>21</v>
      </c>
      <c r="B32" s="51" t="s">
        <v>22</v>
      </c>
      <c r="C32" s="94">
        <v>1711</v>
      </c>
      <c r="D32" s="35">
        <f>C32</f>
        <v>1711</v>
      </c>
      <c r="E32" s="89" t="str">
        <f t="shared" si="2"/>
        <v>-</v>
      </c>
      <c r="F32" s="90">
        <f t="shared" si="1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63</v>
      </c>
      <c r="D33" s="35">
        <f>D34+D36+D37+D38+D39+D40</f>
        <v>63</v>
      </c>
      <c r="E33" s="89" t="str">
        <f t="shared" si="2"/>
        <v>-</v>
      </c>
      <c r="F33" s="90">
        <f t="shared" si="1"/>
        <v>1</v>
      </c>
    </row>
    <row r="34" spans="1:6" ht="28.5" customHeight="1">
      <c r="A34" s="53" t="s">
        <v>45</v>
      </c>
      <c r="B34" s="54" t="s">
        <v>38</v>
      </c>
      <c r="C34" s="94">
        <v>31</v>
      </c>
      <c r="D34" s="35">
        <f>C34</f>
        <v>31</v>
      </c>
      <c r="E34" s="89" t="str">
        <f t="shared" si="2"/>
        <v>-</v>
      </c>
      <c r="F34" s="90">
        <f t="shared" si="1"/>
        <v>1</v>
      </c>
    </row>
    <row r="35" spans="1:6" ht="28.5" customHeight="1">
      <c r="A35" s="53" t="s">
        <v>46</v>
      </c>
      <c r="B35" s="55" t="s">
        <v>39</v>
      </c>
      <c r="C35" s="94">
        <v>28</v>
      </c>
      <c r="D35" s="35">
        <f aca="true" t="shared" si="3" ref="D35:D47">C35</f>
        <v>28</v>
      </c>
      <c r="E35" s="89" t="str">
        <f t="shared" si="2"/>
        <v>-</v>
      </c>
      <c r="F35" s="90">
        <f t="shared" si="1"/>
        <v>1</v>
      </c>
    </row>
    <row r="36" spans="1:6" ht="28.5" customHeight="1">
      <c r="A36" s="53" t="s">
        <v>47</v>
      </c>
      <c r="B36" s="54" t="s">
        <v>40</v>
      </c>
      <c r="C36" s="94">
        <v>0</v>
      </c>
      <c r="D36" s="35">
        <f t="shared" si="3"/>
        <v>0</v>
      </c>
      <c r="E36" s="89" t="str">
        <f t="shared" si="2"/>
        <v>-</v>
      </c>
      <c r="F36" s="90" t="str">
        <f t="shared" si="1"/>
        <v>-</v>
      </c>
    </row>
    <row r="37" spans="1:6" ht="28.5" customHeight="1">
      <c r="A37" s="53" t="s">
        <v>48</v>
      </c>
      <c r="B37" s="54" t="s">
        <v>41</v>
      </c>
      <c r="C37" s="94">
        <v>0</v>
      </c>
      <c r="D37" s="35">
        <f t="shared" si="3"/>
        <v>0</v>
      </c>
      <c r="E37" s="89" t="str">
        <f t="shared" si="2"/>
        <v>-</v>
      </c>
      <c r="F37" s="90" t="str">
        <f t="shared" si="1"/>
        <v>-</v>
      </c>
    </row>
    <row r="38" spans="1:6" ht="28.5" customHeight="1">
      <c r="A38" s="53" t="s">
        <v>49</v>
      </c>
      <c r="B38" s="54" t="s">
        <v>42</v>
      </c>
      <c r="C38" s="94">
        <v>0</v>
      </c>
      <c r="D38" s="35">
        <f t="shared" si="3"/>
        <v>0</v>
      </c>
      <c r="E38" s="89" t="str">
        <f t="shared" si="2"/>
        <v>-</v>
      </c>
      <c r="F38" s="90" t="str">
        <f t="shared" si="1"/>
        <v>-</v>
      </c>
    </row>
    <row r="39" spans="1:6" ht="28.5" customHeight="1">
      <c r="A39" s="53" t="s">
        <v>50</v>
      </c>
      <c r="B39" s="54" t="s">
        <v>43</v>
      </c>
      <c r="C39" s="94">
        <v>29</v>
      </c>
      <c r="D39" s="35">
        <f t="shared" si="3"/>
        <v>29</v>
      </c>
      <c r="E39" s="89" t="str">
        <f t="shared" si="2"/>
        <v>-</v>
      </c>
      <c r="F39" s="90">
        <f t="shared" si="1"/>
        <v>1</v>
      </c>
    </row>
    <row r="40" spans="1:6" ht="28.5" customHeight="1">
      <c r="A40" s="53" t="s">
        <v>51</v>
      </c>
      <c r="B40" s="54" t="s">
        <v>44</v>
      </c>
      <c r="C40" s="94">
        <v>3</v>
      </c>
      <c r="D40" s="35">
        <f t="shared" si="3"/>
        <v>3</v>
      </c>
      <c r="E40" s="89" t="str">
        <f t="shared" si="2"/>
        <v>-</v>
      </c>
      <c r="F40" s="90">
        <f t="shared" si="1"/>
        <v>1</v>
      </c>
    </row>
    <row r="41" spans="1:6" ht="28.5" customHeight="1">
      <c r="A41" s="42" t="s">
        <v>24</v>
      </c>
      <c r="B41" s="51" t="s">
        <v>25</v>
      </c>
      <c r="C41" s="35">
        <v>10416</v>
      </c>
      <c r="D41" s="35">
        <f t="shared" si="3"/>
        <v>10416</v>
      </c>
      <c r="E41" s="89" t="str">
        <f t="shared" si="2"/>
        <v>-</v>
      </c>
      <c r="F41" s="90">
        <f t="shared" si="1"/>
        <v>1</v>
      </c>
    </row>
    <row r="42" spans="1:6" ht="28.5" customHeight="1">
      <c r="A42" s="42" t="s">
        <v>26</v>
      </c>
      <c r="B42" s="52" t="s">
        <v>61</v>
      </c>
      <c r="C42" s="110">
        <f>C43+C44+C45+C46</f>
        <v>2095</v>
      </c>
      <c r="D42" s="35">
        <f>SUM(D43:D46)</f>
        <v>2095</v>
      </c>
      <c r="E42" s="89" t="str">
        <f t="shared" si="2"/>
        <v>-</v>
      </c>
      <c r="F42" s="90">
        <f t="shared" si="1"/>
        <v>1</v>
      </c>
    </row>
    <row r="43" spans="1:6" ht="28.5" customHeight="1">
      <c r="A43" s="53" t="s">
        <v>56</v>
      </c>
      <c r="B43" s="54" t="s">
        <v>52</v>
      </c>
      <c r="C43" s="35">
        <v>1582</v>
      </c>
      <c r="D43" s="35">
        <f>C43</f>
        <v>1582</v>
      </c>
      <c r="E43" s="89" t="str">
        <f t="shared" si="2"/>
        <v>-</v>
      </c>
      <c r="F43" s="90">
        <f t="shared" si="1"/>
        <v>1</v>
      </c>
    </row>
    <row r="44" spans="1:6" ht="28.5" customHeight="1">
      <c r="A44" s="53" t="s">
        <v>57</v>
      </c>
      <c r="B44" s="54" t="s">
        <v>53</v>
      </c>
      <c r="C44" s="35">
        <v>255</v>
      </c>
      <c r="D44" s="35">
        <f>C44</f>
        <v>255</v>
      </c>
      <c r="E44" s="89" t="str">
        <f t="shared" si="2"/>
        <v>-</v>
      </c>
      <c r="F44" s="90">
        <f t="shared" si="1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3"/>
        <v>0</v>
      </c>
      <c r="E45" s="89" t="str">
        <f t="shared" si="2"/>
        <v>-</v>
      </c>
      <c r="F45" s="90" t="str">
        <f t="shared" si="1"/>
        <v>-</v>
      </c>
    </row>
    <row r="46" spans="1:6" ht="28.5" customHeight="1">
      <c r="A46" s="53" t="s">
        <v>59</v>
      </c>
      <c r="B46" s="54" t="s">
        <v>55</v>
      </c>
      <c r="C46" s="35">
        <v>258</v>
      </c>
      <c r="D46" s="35">
        <f>C46</f>
        <v>258</v>
      </c>
      <c r="E46" s="89" t="str">
        <f t="shared" si="2"/>
        <v>-</v>
      </c>
      <c r="F46" s="90">
        <f t="shared" si="1"/>
        <v>1</v>
      </c>
    </row>
    <row r="47" spans="1:6" ht="28.5" customHeight="1">
      <c r="A47" s="42" t="s">
        <v>27</v>
      </c>
      <c r="B47" s="51" t="s">
        <v>28</v>
      </c>
      <c r="C47" s="94">
        <v>0</v>
      </c>
      <c r="D47" s="35">
        <f t="shared" si="3"/>
        <v>0</v>
      </c>
      <c r="E47" s="89" t="str">
        <f t="shared" si="2"/>
        <v>-</v>
      </c>
      <c r="F47" s="90" t="str">
        <f aca="true" t="shared" si="4" ref="F47:F55">IF(C47=0,"-",D47/C47)</f>
        <v>-</v>
      </c>
    </row>
    <row r="48" spans="1:6" ht="48" customHeight="1">
      <c r="A48" s="42" t="s">
        <v>29</v>
      </c>
      <c r="B48" s="51" t="s">
        <v>116</v>
      </c>
      <c r="C48" s="111">
        <v>2688</v>
      </c>
      <c r="D48" s="35">
        <f>C48</f>
        <v>2688</v>
      </c>
      <c r="E48" s="89" t="str">
        <f t="shared" si="2"/>
        <v>-</v>
      </c>
      <c r="F48" s="92">
        <f t="shared" si="4"/>
        <v>1</v>
      </c>
    </row>
    <row r="49" spans="1:6" ht="43.5" customHeight="1">
      <c r="A49" s="42" t="s">
        <v>30</v>
      </c>
      <c r="B49" s="51" t="s">
        <v>31</v>
      </c>
      <c r="C49" s="111">
        <v>80</v>
      </c>
      <c r="D49" s="35">
        <f>C49</f>
        <v>80</v>
      </c>
      <c r="E49" s="89" t="str">
        <f t="shared" si="2"/>
        <v>-</v>
      </c>
      <c r="F49" s="92">
        <f t="shared" si="4"/>
        <v>1</v>
      </c>
    </row>
    <row r="50" spans="1:6" ht="35.25" customHeight="1">
      <c r="A50" s="42" t="s">
        <v>32</v>
      </c>
      <c r="B50" s="51" t="s">
        <v>33</v>
      </c>
      <c r="C50" s="94">
        <v>132</v>
      </c>
      <c r="D50" s="35">
        <f>C50</f>
        <v>132</v>
      </c>
      <c r="E50" s="89" t="str">
        <f t="shared" si="2"/>
        <v>-</v>
      </c>
      <c r="F50" s="90">
        <f t="shared" si="4"/>
        <v>1</v>
      </c>
    </row>
    <row r="51" spans="1:6" s="3" customFormat="1" ht="30" customHeight="1">
      <c r="A51" s="44" t="s">
        <v>34</v>
      </c>
      <c r="B51" s="56" t="s">
        <v>175</v>
      </c>
      <c r="C51" s="38">
        <f>SUM(C52:C55)</f>
        <v>200</v>
      </c>
      <c r="D51" s="38">
        <f>SUM(D52:D55)</f>
        <v>200</v>
      </c>
      <c r="E51" s="13" t="str">
        <f t="shared" si="2"/>
        <v>-</v>
      </c>
      <c r="F51" s="93">
        <f t="shared" si="4"/>
        <v>1</v>
      </c>
    </row>
    <row r="52" spans="1:6" ht="42" customHeight="1">
      <c r="A52" s="42" t="s">
        <v>119</v>
      </c>
      <c r="B52" s="51" t="s">
        <v>144</v>
      </c>
      <c r="C52" s="94">
        <v>200</v>
      </c>
      <c r="D52" s="35">
        <f>C52</f>
        <v>200</v>
      </c>
      <c r="E52" s="94" t="str">
        <f>IF(C52=D52,"-",D52-C52)</f>
        <v>-</v>
      </c>
      <c r="F52" s="100">
        <f t="shared" si="4"/>
        <v>1</v>
      </c>
    </row>
    <row r="53" spans="1:6" ht="31.5" customHeight="1">
      <c r="A53" s="42" t="s">
        <v>35</v>
      </c>
      <c r="B53" s="51" t="s">
        <v>63</v>
      </c>
      <c r="C53" s="94">
        <v>0</v>
      </c>
      <c r="D53" s="35">
        <f>C53</f>
        <v>0</v>
      </c>
      <c r="E53" s="94" t="str">
        <f>IF(C53=D53,"-",D53-C53)</f>
        <v>-</v>
      </c>
      <c r="F53" s="100" t="str">
        <f t="shared" si="4"/>
        <v>-</v>
      </c>
    </row>
    <row r="54" spans="1:6" ht="31.5" customHeight="1">
      <c r="A54" s="42" t="s">
        <v>36</v>
      </c>
      <c r="B54" s="51" t="s">
        <v>121</v>
      </c>
      <c r="C54" s="94">
        <v>0</v>
      </c>
      <c r="D54" s="35">
        <f>C54</f>
        <v>0</v>
      </c>
      <c r="E54" s="94" t="str">
        <f>IF(C54=D54,"-",D54-C54)</f>
        <v>-</v>
      </c>
      <c r="F54" s="100" t="str">
        <f t="shared" si="4"/>
        <v>-</v>
      </c>
    </row>
    <row r="55" spans="1:6" ht="31.5" customHeight="1">
      <c r="A55" s="42" t="s">
        <v>120</v>
      </c>
      <c r="B55" s="51" t="s">
        <v>122</v>
      </c>
      <c r="C55" s="94">
        <v>0</v>
      </c>
      <c r="D55" s="35">
        <f>C55</f>
        <v>0</v>
      </c>
      <c r="E55" s="94" t="str">
        <f>IF(C55=D55,"-",D55-C55)</f>
        <v>-</v>
      </c>
      <c r="F55" s="100" t="str">
        <f t="shared" si="4"/>
        <v>-</v>
      </c>
    </row>
    <row r="56" spans="1:6" ht="32.25" customHeight="1">
      <c r="A56" s="44" t="s">
        <v>127</v>
      </c>
      <c r="B56" s="56" t="s">
        <v>155</v>
      </c>
      <c r="C56" s="113">
        <v>3</v>
      </c>
      <c r="D56" s="38">
        <f>C56</f>
        <v>3</v>
      </c>
      <c r="E56" s="13" t="str">
        <f>IF(C56=D56,"-",D56-C56)</f>
        <v>-</v>
      </c>
      <c r="F56" s="109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G1" sqref="G1:AA16384"/>
      <selection pane="topRight" activeCell="G1" sqref="G1:AA16384"/>
      <selection pane="bottomLeft" activeCell="G1" sqref="G1:AA16384"/>
      <selection pane="bottomRight" activeCell="G1" sqref="G1:AA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8" width="0" style="2" hidden="1" customWidth="1"/>
    <col min="9" max="9" width="14.375" style="2" hidden="1" customWidth="1"/>
    <col min="10" max="27" width="0" style="2" hidden="1" customWidth="1"/>
    <col min="28" max="16384" width="9.125" style="2" customWidth="1"/>
  </cols>
  <sheetData>
    <row r="1" spans="1:6" s="59" customFormat="1" ht="38.25" customHeight="1">
      <c r="A1" s="129" t="str">
        <f>NFZ!A1</f>
        <v>ZMIANA PLANU FINANSOWEGO NARODOWEGO FUNDUSZU ZDROWIA NA 2010 ROK Z 16 GRUDNIA 2009 ROKU</v>
      </c>
      <c r="B1" s="129"/>
      <c r="C1" s="129"/>
      <c r="D1" s="129"/>
      <c r="E1" s="129"/>
      <c r="F1" s="129"/>
    </row>
    <row r="2" spans="1:3" s="61" customFormat="1" ht="33" customHeight="1">
      <c r="A2" s="130" t="s">
        <v>85</v>
      </c>
      <c r="B2" s="130"/>
      <c r="C2" s="130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2" t="s">
        <v>165</v>
      </c>
      <c r="B4" s="131" t="s">
        <v>62</v>
      </c>
      <c r="C4" s="127" t="s">
        <v>202</v>
      </c>
      <c r="D4" s="124" t="s">
        <v>159</v>
      </c>
      <c r="E4" s="126" t="s">
        <v>164</v>
      </c>
      <c r="F4" s="126" t="s">
        <v>163</v>
      </c>
    </row>
    <row r="5" spans="1:6" s="6" customFormat="1" ht="33" customHeight="1">
      <c r="A5" s="131"/>
      <c r="B5" s="131"/>
      <c r="C5" s="128"/>
      <c r="D5" s="125"/>
      <c r="E5" s="126"/>
      <c r="F5" s="126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9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4655365</v>
      </c>
      <c r="D7" s="16">
        <f>D8+D9+D10+D12+D13+D14+D15+D16+D17+D18+D19+D20+D21+D22+D24+D25+D26+D27</f>
        <v>4650214</v>
      </c>
      <c r="E7" s="13">
        <f>IF(C7=D7,"-",D7-C7)</f>
        <v>-5151</v>
      </c>
      <c r="F7" s="88">
        <f>IF(C7=0,"-",D7/C7)</f>
        <v>0.999</v>
      </c>
      <c r="H7" s="3">
        <v>4650214</v>
      </c>
      <c r="I7" s="16">
        <f>D7-H7</f>
        <v>0</v>
      </c>
    </row>
    <row r="8" spans="1:8" ht="31.5" customHeight="1">
      <c r="A8" s="40" t="s">
        <v>1</v>
      </c>
      <c r="B8" s="102" t="s">
        <v>166</v>
      </c>
      <c r="C8" s="114">
        <v>665000</v>
      </c>
      <c r="D8" s="36">
        <f>H8</f>
        <v>665000</v>
      </c>
      <c r="E8" s="89" t="str">
        <f aca="true" t="shared" si="0" ref="E8:E29">IF(C8=D8,"-",D8-C8)</f>
        <v>-</v>
      </c>
      <c r="F8" s="90">
        <f aca="true" t="shared" si="1" ref="F8:F46">IF(C8=0,"-",D8/C8)</f>
        <v>1</v>
      </c>
      <c r="H8" s="2">
        <v>665000</v>
      </c>
    </row>
    <row r="9" spans="1:8" ht="31.5" customHeight="1">
      <c r="A9" s="40" t="s">
        <v>2</v>
      </c>
      <c r="B9" s="102" t="s">
        <v>167</v>
      </c>
      <c r="C9" s="114">
        <v>376200</v>
      </c>
      <c r="D9" s="36">
        <f>ROUND(H9-('[6]REZERWA NA MIGRACJĘ'!$C$22-'[7]REZERWA NA MIGRACJĘ'!$C$22),0)</f>
        <v>377351</v>
      </c>
      <c r="E9" s="89">
        <f t="shared" si="0"/>
        <v>1151</v>
      </c>
      <c r="F9" s="90">
        <f t="shared" si="1"/>
        <v>1.0031</v>
      </c>
      <c r="H9" s="2">
        <v>377585</v>
      </c>
    </row>
    <row r="10" spans="1:8" ht="31.5" customHeight="1">
      <c r="A10" s="40" t="s">
        <v>3</v>
      </c>
      <c r="B10" s="102" t="s">
        <v>158</v>
      </c>
      <c r="C10" s="114">
        <v>2030446</v>
      </c>
      <c r="D10" s="36">
        <f>ROUND(H10-('[6]REZERWA NA MIGRACJĘ'!$D$22-'[7]REZERWA NA MIGRACJĘ'!$D$22),0)+40493</f>
        <v>2061510</v>
      </c>
      <c r="E10" s="89">
        <f t="shared" si="0"/>
        <v>31064</v>
      </c>
      <c r="F10" s="90">
        <f t="shared" si="1"/>
        <v>1.0153</v>
      </c>
      <c r="H10" s="2">
        <v>2027334</v>
      </c>
    </row>
    <row r="11" spans="1:8" ht="31.5" customHeight="1">
      <c r="A11" s="103" t="s">
        <v>64</v>
      </c>
      <c r="B11" s="45" t="s">
        <v>65</v>
      </c>
      <c r="C11" s="114">
        <v>86000</v>
      </c>
      <c r="D11" s="36">
        <f>ROUND(H11-('[6]REZERWA NA MIGRACJĘ'!$E$22-'[7]REZERWA NA MIGRACJĘ'!$E$22),0)</f>
        <v>85336</v>
      </c>
      <c r="E11" s="89">
        <f t="shared" si="0"/>
        <v>-664</v>
      </c>
      <c r="F11" s="90">
        <f t="shared" si="1"/>
        <v>0.9923</v>
      </c>
      <c r="H11" s="2">
        <v>85620</v>
      </c>
    </row>
    <row r="12" spans="1:8" ht="31.5" customHeight="1">
      <c r="A12" s="40" t="s">
        <v>4</v>
      </c>
      <c r="B12" s="102" t="s">
        <v>173</v>
      </c>
      <c r="C12" s="114">
        <v>140950</v>
      </c>
      <c r="D12" s="36">
        <f>ROUND(H12-('[6]REZERWA NA MIGRACJĘ'!$F$22-'[7]REZERWA NA MIGRACJĘ'!$F$22),0)</f>
        <v>128474</v>
      </c>
      <c r="E12" s="89">
        <f t="shared" si="0"/>
        <v>-12476</v>
      </c>
      <c r="F12" s="90">
        <f t="shared" si="1"/>
        <v>0.9115</v>
      </c>
      <c r="H12" s="2">
        <v>128563</v>
      </c>
    </row>
    <row r="13" spans="1:8" ht="31.5" customHeight="1">
      <c r="A13" s="40" t="s">
        <v>5</v>
      </c>
      <c r="B13" s="102" t="s">
        <v>168</v>
      </c>
      <c r="C13" s="114">
        <v>120000</v>
      </c>
      <c r="D13" s="36">
        <f>ROUND(H13-('[6]REZERWA NA MIGRACJĘ'!$G$22-'[7]REZERWA NA MIGRACJĘ'!$G$22),0)</f>
        <v>120388</v>
      </c>
      <c r="E13" s="89">
        <f t="shared" si="0"/>
        <v>388</v>
      </c>
      <c r="F13" s="90">
        <f t="shared" si="1"/>
        <v>1.0032</v>
      </c>
      <c r="H13" s="2">
        <v>120636</v>
      </c>
    </row>
    <row r="14" spans="1:8" ht="31.5" customHeight="1">
      <c r="A14" s="40" t="s">
        <v>6</v>
      </c>
      <c r="B14" s="102" t="s">
        <v>177</v>
      </c>
      <c r="C14" s="114">
        <v>57900</v>
      </c>
      <c r="D14" s="36">
        <f>ROUND(H14-('[6]REZERWA NA MIGRACJĘ'!$H$22-'[7]REZERWA NA MIGRACJĘ'!$H$22),0)</f>
        <v>58540</v>
      </c>
      <c r="E14" s="89">
        <f t="shared" si="0"/>
        <v>640</v>
      </c>
      <c r="F14" s="90">
        <f t="shared" si="1"/>
        <v>1.0111</v>
      </c>
      <c r="H14" s="2">
        <v>58755</v>
      </c>
    </row>
    <row r="15" spans="1:8" ht="31.5" customHeight="1">
      <c r="A15" s="40" t="s">
        <v>7</v>
      </c>
      <c r="B15" s="102" t="s">
        <v>176</v>
      </c>
      <c r="C15" s="114">
        <v>37400</v>
      </c>
      <c r="D15" s="36">
        <f>ROUND(H15-('[6]REZERWA NA MIGRACJĘ'!$I$22-'[7]REZERWA NA MIGRACJĘ'!$I$22),0)</f>
        <v>37002</v>
      </c>
      <c r="E15" s="89">
        <f>IF(C15=D15,"-",D15-C15)</f>
        <v>-398</v>
      </c>
      <c r="F15" s="90">
        <f>IF(C15=0,"-",D15/C15)</f>
        <v>0.9894</v>
      </c>
      <c r="H15" s="2">
        <v>37014</v>
      </c>
    </row>
    <row r="16" spans="1:8" ht="31.5" customHeight="1">
      <c r="A16" s="40" t="s">
        <v>8</v>
      </c>
      <c r="B16" s="102" t="s">
        <v>169</v>
      </c>
      <c r="C16" s="114">
        <v>155600</v>
      </c>
      <c r="D16" s="36">
        <f>ROUND(H16-('[6]REZERWA NA MIGRACJĘ'!$J22-'[7]REZERWA NA MIGRACJĘ'!$J$22),0)</f>
        <v>154926</v>
      </c>
      <c r="E16" s="89">
        <f t="shared" si="0"/>
        <v>-674</v>
      </c>
      <c r="F16" s="90">
        <f t="shared" si="1"/>
        <v>0.9957</v>
      </c>
      <c r="H16" s="2">
        <v>154902</v>
      </c>
    </row>
    <row r="17" spans="1:8" ht="31.5" customHeight="1">
      <c r="A17" s="40" t="s">
        <v>9</v>
      </c>
      <c r="B17" s="102" t="s">
        <v>170</v>
      </c>
      <c r="C17" s="114">
        <v>57000</v>
      </c>
      <c r="D17" s="36">
        <f>ROUND(H17,0)</f>
        <v>57000</v>
      </c>
      <c r="E17" s="89" t="str">
        <f t="shared" si="0"/>
        <v>-</v>
      </c>
      <c r="F17" s="90">
        <f t="shared" si="1"/>
        <v>1</v>
      </c>
      <c r="H17" s="2">
        <v>57000</v>
      </c>
    </row>
    <row r="18" spans="1:8" ht="31.5" customHeight="1">
      <c r="A18" s="40" t="s">
        <v>10</v>
      </c>
      <c r="B18" s="102" t="s">
        <v>178</v>
      </c>
      <c r="C18" s="114">
        <v>2500</v>
      </c>
      <c r="D18" s="36">
        <f>ROUND(H18,0)</f>
        <v>2500</v>
      </c>
      <c r="E18" s="89" t="str">
        <f t="shared" si="0"/>
        <v>-</v>
      </c>
      <c r="F18" s="90">
        <f t="shared" si="1"/>
        <v>1</v>
      </c>
      <c r="H18" s="2">
        <v>2500</v>
      </c>
    </row>
    <row r="19" spans="1:8" ht="46.5" customHeight="1">
      <c r="A19" s="40" t="s">
        <v>11</v>
      </c>
      <c r="B19" s="102" t="s">
        <v>171</v>
      </c>
      <c r="C19" s="114">
        <v>9000</v>
      </c>
      <c r="D19" s="36">
        <f>ROUND(H19-('[6]REZERWA NA MIGRACJĘ'!$K$22-'[7]REZERWA NA MIGRACJĘ'!$K$22),0)-196</f>
        <v>8868</v>
      </c>
      <c r="E19" s="89">
        <f t="shared" si="0"/>
        <v>-132</v>
      </c>
      <c r="F19" s="90">
        <f t="shared" si="1"/>
        <v>0.9853</v>
      </c>
      <c r="H19" s="2">
        <v>9066</v>
      </c>
    </row>
    <row r="20" spans="1:8" ht="31.5" customHeight="1">
      <c r="A20" s="40" t="s">
        <v>12</v>
      </c>
      <c r="B20" s="102" t="s">
        <v>172</v>
      </c>
      <c r="C20" s="114">
        <v>108600</v>
      </c>
      <c r="D20" s="36">
        <f>ROUND(H20-('[6]REZERWA NA MIGRACJĘ'!$L$22-'[7]REZERWA NA MIGRACJĘ'!$L$22),0)</f>
        <v>107384</v>
      </c>
      <c r="E20" s="89">
        <f t="shared" si="0"/>
        <v>-1216</v>
      </c>
      <c r="F20" s="90">
        <f t="shared" si="1"/>
        <v>0.9888</v>
      </c>
      <c r="H20" s="2">
        <v>108614</v>
      </c>
    </row>
    <row r="21" spans="1:8" ht="31.5" customHeight="1">
      <c r="A21" s="40" t="s">
        <v>14</v>
      </c>
      <c r="B21" s="46" t="s">
        <v>13</v>
      </c>
      <c r="C21" s="114">
        <v>51700</v>
      </c>
      <c r="D21" s="36">
        <f>H21</f>
        <v>51700</v>
      </c>
      <c r="E21" s="89" t="str">
        <f t="shared" si="0"/>
        <v>-</v>
      </c>
      <c r="F21" s="90">
        <f t="shared" si="1"/>
        <v>1</v>
      </c>
      <c r="H21" s="2">
        <v>51700</v>
      </c>
    </row>
    <row r="22" spans="1:8" ht="31.5" customHeight="1">
      <c r="A22" s="41" t="s">
        <v>15</v>
      </c>
      <c r="B22" s="102" t="s">
        <v>174</v>
      </c>
      <c r="C22" s="114">
        <v>669981</v>
      </c>
      <c r="D22" s="36">
        <f>H22-40493</f>
        <v>629488</v>
      </c>
      <c r="E22" s="89">
        <f t="shared" si="0"/>
        <v>-40493</v>
      </c>
      <c r="F22" s="90">
        <f t="shared" si="1"/>
        <v>0.9396</v>
      </c>
      <c r="H22" s="2">
        <v>669981</v>
      </c>
    </row>
    <row r="23" spans="1:8" ht="31.5" customHeight="1">
      <c r="A23" s="39" t="s">
        <v>179</v>
      </c>
      <c r="B23" s="45" t="s">
        <v>66</v>
      </c>
      <c r="C23" s="114">
        <v>1500</v>
      </c>
      <c r="D23" s="36">
        <f>H23</f>
        <v>1500</v>
      </c>
      <c r="E23" s="89" t="str">
        <f t="shared" si="0"/>
        <v>-</v>
      </c>
      <c r="F23" s="90">
        <f t="shared" si="1"/>
        <v>1</v>
      </c>
      <c r="H23" s="2">
        <v>1500</v>
      </c>
    </row>
    <row r="24" spans="1:8" ht="33" customHeight="1">
      <c r="A24" s="42" t="s">
        <v>16</v>
      </c>
      <c r="B24" s="47" t="s">
        <v>140</v>
      </c>
      <c r="C24" s="114">
        <v>0</v>
      </c>
      <c r="D24" s="36">
        <f>H24</f>
        <v>0</v>
      </c>
      <c r="E24" s="89" t="str">
        <f>IF(C24=D24,"-",D24-C24)</f>
        <v>-</v>
      </c>
      <c r="F24" s="90" t="str">
        <f>IF(C24=0,"-",D24/C24)</f>
        <v>-</v>
      </c>
      <c r="H24" s="2">
        <v>0</v>
      </c>
    </row>
    <row r="25" spans="1:8" ht="33" customHeight="1">
      <c r="A25" s="42" t="s">
        <v>137</v>
      </c>
      <c r="B25" s="48" t="s">
        <v>60</v>
      </c>
      <c r="C25" s="114">
        <v>0</v>
      </c>
      <c r="D25" s="36">
        <f>H25</f>
        <v>0</v>
      </c>
      <c r="E25" s="89" t="str">
        <f>IF(C25=D25,"-",D25-C25)</f>
        <v>-</v>
      </c>
      <c r="F25" s="90" t="str">
        <f>IF(C25=0,"-",D25/C25)</f>
        <v>-</v>
      </c>
      <c r="H25" s="2">
        <v>0</v>
      </c>
    </row>
    <row r="26" spans="1:8" ht="33" customHeight="1">
      <c r="A26" s="42" t="s">
        <v>138</v>
      </c>
      <c r="B26" s="48" t="s">
        <v>141</v>
      </c>
      <c r="C26" s="114">
        <v>173088</v>
      </c>
      <c r="D26" s="36">
        <f>ROUND('[6]REZERWA NA MIGRACJĘ'!$B$22,0)</f>
        <v>190083</v>
      </c>
      <c r="E26" s="89">
        <f>IF(C26=D26,"-",D26-C26)</f>
        <v>16995</v>
      </c>
      <c r="F26" s="90">
        <f>IF(C26=0,"-",D26/C26)</f>
        <v>1.0982</v>
      </c>
      <c r="H26" s="2">
        <v>181564</v>
      </c>
    </row>
    <row r="27" spans="1:8" ht="33" customHeight="1">
      <c r="A27" s="42" t="s">
        <v>139</v>
      </c>
      <c r="B27" s="48" t="s">
        <v>142</v>
      </c>
      <c r="C27" s="114">
        <v>0</v>
      </c>
      <c r="D27" s="36">
        <f>ROUND(H27-('[6]REZERWA NA MIGRACJĘ'!$M$22-'[7]REZERWA NA MIGRACJĘ'!$M$22),0)+196</f>
        <v>0</v>
      </c>
      <c r="E27" s="89" t="str">
        <f>IF(C27=D27,"-",D27-C27)</f>
        <v>-</v>
      </c>
      <c r="F27" s="90" t="str">
        <f>IF(C27=0,"-",D27/C27)</f>
        <v>-</v>
      </c>
      <c r="H27" s="2">
        <v>0</v>
      </c>
    </row>
    <row r="28" spans="1:6" s="5" customFormat="1" ht="31.5" customHeight="1">
      <c r="A28" s="43" t="s">
        <v>68</v>
      </c>
      <c r="B28" s="49" t="s">
        <v>69</v>
      </c>
      <c r="C28" s="112">
        <v>0</v>
      </c>
      <c r="D28" s="119">
        <f>C28</f>
        <v>0</v>
      </c>
      <c r="E28" s="15" t="str">
        <f t="shared" si="0"/>
        <v>-</v>
      </c>
      <c r="F28" s="120" t="str">
        <f t="shared" si="1"/>
        <v>-</v>
      </c>
    </row>
    <row r="29" spans="1:6" s="5" customFormat="1" ht="31.5" customHeight="1">
      <c r="A29" s="43" t="s">
        <v>67</v>
      </c>
      <c r="B29" s="49" t="s">
        <v>70</v>
      </c>
      <c r="C29" s="112">
        <v>138440</v>
      </c>
      <c r="D29" s="119">
        <f>C29</f>
        <v>138440</v>
      </c>
      <c r="E29" s="15" t="str">
        <f t="shared" si="0"/>
        <v>-</v>
      </c>
      <c r="F29" s="120">
        <f t="shared" si="1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42506</v>
      </c>
      <c r="D30" s="34">
        <f>D31+D32+D33+D41+D42+D48+D49+D50+D47</f>
        <v>42506</v>
      </c>
      <c r="E30" s="13" t="str">
        <f>IF(C30=D30,"-",D30-C30)</f>
        <v>-</v>
      </c>
      <c r="F30" s="91">
        <f t="shared" si="1"/>
        <v>1</v>
      </c>
    </row>
    <row r="31" spans="1:6" ht="28.5" customHeight="1">
      <c r="A31" s="42" t="s">
        <v>19</v>
      </c>
      <c r="B31" s="51" t="s">
        <v>20</v>
      </c>
      <c r="C31" s="94">
        <v>2074</v>
      </c>
      <c r="D31" s="35">
        <f>C31</f>
        <v>2074</v>
      </c>
      <c r="E31" s="89" t="str">
        <f aca="true" t="shared" si="2" ref="E31:E51">IF(C31=D31,"-",D31-C31)</f>
        <v>-</v>
      </c>
      <c r="F31" s="90">
        <f t="shared" si="1"/>
        <v>1</v>
      </c>
    </row>
    <row r="32" spans="1:6" ht="28.5" customHeight="1">
      <c r="A32" s="42" t="s">
        <v>21</v>
      </c>
      <c r="B32" s="51" t="s">
        <v>22</v>
      </c>
      <c r="C32" s="94">
        <v>7206</v>
      </c>
      <c r="D32" s="35">
        <f>C32</f>
        <v>7206</v>
      </c>
      <c r="E32" s="89" t="str">
        <f t="shared" si="2"/>
        <v>-</v>
      </c>
      <c r="F32" s="90">
        <f t="shared" si="1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327</v>
      </c>
      <c r="D33" s="35">
        <f>D34+D36+D37+D38+D39+D40</f>
        <v>327</v>
      </c>
      <c r="E33" s="89" t="str">
        <f t="shared" si="2"/>
        <v>-</v>
      </c>
      <c r="F33" s="90">
        <f t="shared" si="1"/>
        <v>1</v>
      </c>
    </row>
    <row r="34" spans="1:6" ht="28.5" customHeight="1">
      <c r="A34" s="53" t="s">
        <v>45</v>
      </c>
      <c r="B34" s="54" t="s">
        <v>38</v>
      </c>
      <c r="C34" s="94">
        <v>41</v>
      </c>
      <c r="D34" s="35">
        <f>C34</f>
        <v>41</v>
      </c>
      <c r="E34" s="89" t="str">
        <f t="shared" si="2"/>
        <v>-</v>
      </c>
      <c r="F34" s="90">
        <f t="shared" si="1"/>
        <v>1</v>
      </c>
    </row>
    <row r="35" spans="1:6" ht="28.5" customHeight="1">
      <c r="A35" s="53" t="s">
        <v>46</v>
      </c>
      <c r="B35" s="55" t="s">
        <v>39</v>
      </c>
      <c r="C35" s="94">
        <v>41</v>
      </c>
      <c r="D35" s="35">
        <f>C35</f>
        <v>41</v>
      </c>
      <c r="E35" s="89" t="str">
        <f t="shared" si="2"/>
        <v>-</v>
      </c>
      <c r="F35" s="90">
        <f t="shared" si="1"/>
        <v>1</v>
      </c>
    </row>
    <row r="36" spans="1:6" ht="28.5" customHeight="1">
      <c r="A36" s="53" t="s">
        <v>47</v>
      </c>
      <c r="B36" s="54" t="s">
        <v>40</v>
      </c>
      <c r="C36" s="94">
        <v>0</v>
      </c>
      <c r="D36" s="35">
        <f aca="true" t="shared" si="3" ref="D36:D41">C36</f>
        <v>0</v>
      </c>
      <c r="E36" s="89" t="str">
        <f t="shared" si="2"/>
        <v>-</v>
      </c>
      <c r="F36" s="90" t="str">
        <f t="shared" si="1"/>
        <v>-</v>
      </c>
    </row>
    <row r="37" spans="1:6" ht="28.5" customHeight="1">
      <c r="A37" s="53" t="s">
        <v>48</v>
      </c>
      <c r="B37" s="54" t="s">
        <v>41</v>
      </c>
      <c r="C37" s="94">
        <v>0</v>
      </c>
      <c r="D37" s="35">
        <f t="shared" si="3"/>
        <v>0</v>
      </c>
      <c r="E37" s="89" t="str">
        <f t="shared" si="2"/>
        <v>-</v>
      </c>
      <c r="F37" s="90" t="str">
        <f t="shared" si="1"/>
        <v>-</v>
      </c>
    </row>
    <row r="38" spans="1:6" ht="28.5" customHeight="1">
      <c r="A38" s="53" t="s">
        <v>49</v>
      </c>
      <c r="B38" s="54" t="s">
        <v>42</v>
      </c>
      <c r="C38" s="94">
        <v>0</v>
      </c>
      <c r="D38" s="35">
        <f t="shared" si="3"/>
        <v>0</v>
      </c>
      <c r="E38" s="89" t="str">
        <f t="shared" si="2"/>
        <v>-</v>
      </c>
      <c r="F38" s="90" t="str">
        <f t="shared" si="1"/>
        <v>-</v>
      </c>
    </row>
    <row r="39" spans="1:6" ht="28.5" customHeight="1">
      <c r="A39" s="53" t="s">
        <v>50</v>
      </c>
      <c r="B39" s="54" t="s">
        <v>43</v>
      </c>
      <c r="C39" s="94">
        <v>223</v>
      </c>
      <c r="D39" s="35">
        <f t="shared" si="3"/>
        <v>223</v>
      </c>
      <c r="E39" s="89" t="str">
        <f t="shared" si="2"/>
        <v>-</v>
      </c>
      <c r="F39" s="90">
        <f t="shared" si="1"/>
        <v>1</v>
      </c>
    </row>
    <row r="40" spans="1:6" ht="28.5" customHeight="1">
      <c r="A40" s="53" t="s">
        <v>51</v>
      </c>
      <c r="B40" s="54" t="s">
        <v>44</v>
      </c>
      <c r="C40" s="94">
        <v>63</v>
      </c>
      <c r="D40" s="35">
        <f t="shared" si="3"/>
        <v>63</v>
      </c>
      <c r="E40" s="89" t="str">
        <f t="shared" si="2"/>
        <v>-</v>
      </c>
      <c r="F40" s="90">
        <f t="shared" si="1"/>
        <v>1</v>
      </c>
    </row>
    <row r="41" spans="1:6" ht="28.5" customHeight="1">
      <c r="A41" s="42" t="s">
        <v>24</v>
      </c>
      <c r="B41" s="51" t="s">
        <v>25</v>
      </c>
      <c r="C41" s="35">
        <v>21781</v>
      </c>
      <c r="D41" s="35">
        <f t="shared" si="3"/>
        <v>21781</v>
      </c>
      <c r="E41" s="89" t="str">
        <f t="shared" si="2"/>
        <v>-</v>
      </c>
      <c r="F41" s="90">
        <f t="shared" si="1"/>
        <v>1</v>
      </c>
    </row>
    <row r="42" spans="1:6" ht="28.5" customHeight="1">
      <c r="A42" s="42" t="s">
        <v>26</v>
      </c>
      <c r="B42" s="52" t="s">
        <v>61</v>
      </c>
      <c r="C42" s="110">
        <f>C43+C44+C45+C46</f>
        <v>4390</v>
      </c>
      <c r="D42" s="35">
        <f>SUM(D43:D46)</f>
        <v>4390</v>
      </c>
      <c r="E42" s="89" t="str">
        <f t="shared" si="2"/>
        <v>-</v>
      </c>
      <c r="F42" s="90">
        <f t="shared" si="1"/>
        <v>1</v>
      </c>
    </row>
    <row r="43" spans="1:6" ht="28.5" customHeight="1">
      <c r="A43" s="53" t="s">
        <v>56</v>
      </c>
      <c r="B43" s="54" t="s">
        <v>52</v>
      </c>
      <c r="C43" s="35">
        <v>3309</v>
      </c>
      <c r="D43" s="35">
        <f aca="true" t="shared" si="4" ref="D43:D50">C43</f>
        <v>3309</v>
      </c>
      <c r="E43" s="89" t="str">
        <f t="shared" si="2"/>
        <v>-</v>
      </c>
      <c r="F43" s="90">
        <f t="shared" si="1"/>
        <v>1</v>
      </c>
    </row>
    <row r="44" spans="1:6" ht="28.5" customHeight="1">
      <c r="A44" s="53" t="s">
        <v>57</v>
      </c>
      <c r="B44" s="54" t="s">
        <v>53</v>
      </c>
      <c r="C44" s="35">
        <v>534</v>
      </c>
      <c r="D44" s="35">
        <f t="shared" si="4"/>
        <v>534</v>
      </c>
      <c r="E44" s="89" t="str">
        <f t="shared" si="2"/>
        <v>-</v>
      </c>
      <c r="F44" s="90">
        <f t="shared" si="1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2"/>
        <v>-</v>
      </c>
      <c r="F45" s="90" t="str">
        <f t="shared" si="1"/>
        <v>-</v>
      </c>
    </row>
    <row r="46" spans="1:6" ht="28.5" customHeight="1">
      <c r="A46" s="53" t="s">
        <v>59</v>
      </c>
      <c r="B46" s="54" t="s">
        <v>55</v>
      </c>
      <c r="C46" s="35">
        <v>547</v>
      </c>
      <c r="D46" s="35">
        <f t="shared" si="4"/>
        <v>547</v>
      </c>
      <c r="E46" s="89" t="str">
        <f t="shared" si="2"/>
        <v>-</v>
      </c>
      <c r="F46" s="90">
        <f t="shared" si="1"/>
        <v>1</v>
      </c>
    </row>
    <row r="47" spans="1:6" ht="28.5" customHeight="1">
      <c r="A47" s="42" t="s">
        <v>27</v>
      </c>
      <c r="B47" s="51" t="s">
        <v>28</v>
      </c>
      <c r="C47" s="94">
        <v>0</v>
      </c>
      <c r="D47" s="35">
        <f t="shared" si="4"/>
        <v>0</v>
      </c>
      <c r="E47" s="89" t="str">
        <f t="shared" si="2"/>
        <v>-</v>
      </c>
      <c r="F47" s="90" t="str">
        <f aca="true" t="shared" si="5" ref="F47:F55">IF(C47=0,"-",D47/C47)</f>
        <v>-</v>
      </c>
    </row>
    <row r="48" spans="1:6" ht="48" customHeight="1">
      <c r="A48" s="42" t="s">
        <v>29</v>
      </c>
      <c r="B48" s="51" t="s">
        <v>116</v>
      </c>
      <c r="C48" s="111">
        <v>6256</v>
      </c>
      <c r="D48" s="35">
        <f t="shared" si="4"/>
        <v>6256</v>
      </c>
      <c r="E48" s="89" t="str">
        <f t="shared" si="2"/>
        <v>-</v>
      </c>
      <c r="F48" s="92">
        <f t="shared" si="5"/>
        <v>1</v>
      </c>
    </row>
    <row r="49" spans="1:6" ht="43.5" customHeight="1">
      <c r="A49" s="42" t="s">
        <v>30</v>
      </c>
      <c r="B49" s="51" t="s">
        <v>31</v>
      </c>
      <c r="C49" s="111">
        <v>0</v>
      </c>
      <c r="D49" s="35">
        <f t="shared" si="4"/>
        <v>0</v>
      </c>
      <c r="E49" s="89" t="str">
        <f t="shared" si="2"/>
        <v>-</v>
      </c>
      <c r="F49" s="92" t="str">
        <f t="shared" si="5"/>
        <v>-</v>
      </c>
    </row>
    <row r="50" spans="1:6" ht="35.25" customHeight="1">
      <c r="A50" s="42" t="s">
        <v>32</v>
      </c>
      <c r="B50" s="51" t="s">
        <v>33</v>
      </c>
      <c r="C50" s="94">
        <v>472</v>
      </c>
      <c r="D50" s="35">
        <f t="shared" si="4"/>
        <v>472</v>
      </c>
      <c r="E50" s="89" t="str">
        <f t="shared" si="2"/>
        <v>-</v>
      </c>
      <c r="F50" s="90">
        <f t="shared" si="5"/>
        <v>1</v>
      </c>
    </row>
    <row r="51" spans="1:6" s="3" customFormat="1" ht="30" customHeight="1">
      <c r="A51" s="44" t="s">
        <v>34</v>
      </c>
      <c r="B51" s="56" t="s">
        <v>175</v>
      </c>
      <c r="C51" s="38">
        <f>SUM(C52:C55)</f>
        <v>23387</v>
      </c>
      <c r="D51" s="38">
        <f>SUM(D52:D55)</f>
        <v>23387</v>
      </c>
      <c r="E51" s="13" t="str">
        <f t="shared" si="2"/>
        <v>-</v>
      </c>
      <c r="F51" s="93">
        <f t="shared" si="5"/>
        <v>1</v>
      </c>
    </row>
    <row r="52" spans="1:6" ht="42" customHeight="1">
      <c r="A52" s="42" t="s">
        <v>119</v>
      </c>
      <c r="B52" s="51" t="s">
        <v>144</v>
      </c>
      <c r="C52" s="94">
        <v>1235</v>
      </c>
      <c r="D52" s="35">
        <f>C52</f>
        <v>1235</v>
      </c>
      <c r="E52" s="94" t="str">
        <f>IF(C52=D52,"-",D52-C52)</f>
        <v>-</v>
      </c>
      <c r="F52" s="100">
        <f t="shared" si="5"/>
        <v>1</v>
      </c>
    </row>
    <row r="53" spans="1:6" ht="31.5" customHeight="1">
      <c r="A53" s="42" t="s">
        <v>35</v>
      </c>
      <c r="B53" s="51" t="s">
        <v>63</v>
      </c>
      <c r="C53" s="94">
        <v>18707</v>
      </c>
      <c r="D53" s="35">
        <f>C53</f>
        <v>18707</v>
      </c>
      <c r="E53" s="94" t="str">
        <f>IF(C53=D53,"-",D53-C53)</f>
        <v>-</v>
      </c>
      <c r="F53" s="100">
        <f t="shared" si="5"/>
        <v>1</v>
      </c>
    </row>
    <row r="54" spans="1:6" ht="31.5" customHeight="1">
      <c r="A54" s="42" t="s">
        <v>36</v>
      </c>
      <c r="B54" s="51" t="s">
        <v>121</v>
      </c>
      <c r="C54" s="94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</row>
    <row r="55" spans="1:6" ht="31.5" customHeight="1">
      <c r="A55" s="42" t="s">
        <v>120</v>
      </c>
      <c r="B55" s="51" t="s">
        <v>122</v>
      </c>
      <c r="C55" s="94">
        <v>3445</v>
      </c>
      <c r="D55" s="35">
        <f>C55</f>
        <v>3445</v>
      </c>
      <c r="E55" s="94" t="str">
        <f>IF(C55=D55,"-",D55-C55)</f>
        <v>-</v>
      </c>
      <c r="F55" s="100">
        <f t="shared" si="5"/>
        <v>1</v>
      </c>
    </row>
    <row r="56" spans="1:6" ht="32.25" customHeight="1">
      <c r="A56" s="44" t="s">
        <v>127</v>
      </c>
      <c r="B56" s="56" t="s">
        <v>155</v>
      </c>
      <c r="C56" s="113">
        <v>5259</v>
      </c>
      <c r="D56" s="38">
        <f>C56</f>
        <v>5259</v>
      </c>
      <c r="E56" s="13" t="str">
        <f>IF(C56=D56,"-",D56-C56)</f>
        <v>-</v>
      </c>
      <c r="F56" s="93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G1" sqref="G1:AA16384"/>
      <selection pane="topRight" activeCell="G1" sqref="G1:AA16384"/>
      <selection pane="bottomLeft" activeCell="G1" sqref="G1:AA16384"/>
      <selection pane="bottomRight" activeCell="G1" sqref="G1:AA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8" width="0" style="2" hidden="1" customWidth="1"/>
    <col min="9" max="9" width="15.375" style="2" hidden="1" customWidth="1"/>
    <col min="10" max="27" width="0" style="2" hidden="1" customWidth="1"/>
    <col min="28" max="16384" width="9.125" style="2" customWidth="1"/>
  </cols>
  <sheetData>
    <row r="1" spans="1:6" s="59" customFormat="1" ht="38.25" customHeight="1">
      <c r="A1" s="129" t="str">
        <f>NFZ!A1</f>
        <v>ZMIANA PLANU FINANSOWEGO NARODOWEGO FUNDUSZU ZDROWIA NA 2010 ROK Z 16 GRUDNIA 2009 ROKU</v>
      </c>
      <c r="B1" s="129"/>
      <c r="C1" s="129"/>
      <c r="D1" s="129"/>
      <c r="E1" s="129"/>
      <c r="F1" s="129"/>
    </row>
    <row r="2" spans="1:3" s="61" customFormat="1" ht="33" customHeight="1">
      <c r="A2" s="130" t="s">
        <v>86</v>
      </c>
      <c r="B2" s="130"/>
      <c r="C2" s="130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2" t="s">
        <v>165</v>
      </c>
      <c r="B4" s="131" t="s">
        <v>62</v>
      </c>
      <c r="C4" s="127" t="s">
        <v>202</v>
      </c>
      <c r="D4" s="124" t="s">
        <v>159</v>
      </c>
      <c r="E4" s="126" t="s">
        <v>164</v>
      </c>
      <c r="F4" s="126" t="s">
        <v>163</v>
      </c>
    </row>
    <row r="5" spans="1:6" s="6" customFormat="1" ht="33" customHeight="1">
      <c r="A5" s="131"/>
      <c r="B5" s="131"/>
      <c r="C5" s="128"/>
      <c r="D5" s="125"/>
      <c r="E5" s="126"/>
      <c r="F5" s="126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9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2374591</v>
      </c>
      <c r="D7" s="16">
        <f>D8+D9+D10+D12+D13+D14+D15+D16+D17+D18+D19+D20+D21+D22+D24+D25+D26+D27</f>
        <v>2379567</v>
      </c>
      <c r="E7" s="13">
        <f>IF(C7=D7,"-",D7-C7)</f>
        <v>4976</v>
      </c>
      <c r="F7" s="88">
        <f>IF(C7=0,"-",D7/C7)</f>
        <v>1.002</v>
      </c>
      <c r="H7" s="3">
        <v>2379567</v>
      </c>
      <c r="I7" s="16">
        <f>D7-H7</f>
        <v>0</v>
      </c>
    </row>
    <row r="8" spans="1:8" ht="31.5" customHeight="1">
      <c r="A8" s="40" t="s">
        <v>1</v>
      </c>
      <c r="B8" s="102" t="s">
        <v>166</v>
      </c>
      <c r="C8" s="111">
        <v>314404</v>
      </c>
      <c r="D8" s="36">
        <f>H8</f>
        <v>334666</v>
      </c>
      <c r="E8" s="89">
        <f aca="true" t="shared" si="0" ref="E8:E29">IF(C8=D8,"-",D8-C8)</f>
        <v>20262</v>
      </c>
      <c r="F8" s="90">
        <f aca="true" t="shared" si="1" ref="F8:F46">IF(C8=0,"-",D8/C8)</f>
        <v>1.0644</v>
      </c>
      <c r="H8" s="2">
        <v>334666</v>
      </c>
    </row>
    <row r="9" spans="1:8" ht="31.5" customHeight="1">
      <c r="A9" s="40" t="s">
        <v>2</v>
      </c>
      <c r="B9" s="102" t="s">
        <v>167</v>
      </c>
      <c r="C9" s="111">
        <v>177424</v>
      </c>
      <c r="D9" s="36">
        <f>ROUND(H9-('[6]REZERWA NA MIGRACJĘ'!$C$23-'[7]REZERWA NA MIGRACJĘ'!$C$23),0)</f>
        <v>173868</v>
      </c>
      <c r="E9" s="89">
        <f t="shared" si="0"/>
        <v>-3556</v>
      </c>
      <c r="F9" s="90">
        <f t="shared" si="1"/>
        <v>0.98</v>
      </c>
      <c r="H9" s="2">
        <v>174070</v>
      </c>
    </row>
    <row r="10" spans="1:8" ht="31.5" customHeight="1">
      <c r="A10" s="40" t="s">
        <v>3</v>
      </c>
      <c r="B10" s="102" t="s">
        <v>158</v>
      </c>
      <c r="C10" s="111">
        <v>1021291</v>
      </c>
      <c r="D10" s="36">
        <f>ROUND(H10-('[6]REZERWA NA MIGRACJĘ'!$D$23-'[7]REZERWA NA MIGRACJĘ'!$D$23),0)+1+1590</f>
        <v>1030190</v>
      </c>
      <c r="E10" s="89">
        <f t="shared" si="0"/>
        <v>8899</v>
      </c>
      <c r="F10" s="90">
        <f t="shared" si="1"/>
        <v>1.0087</v>
      </c>
      <c r="H10" s="2">
        <v>1034313</v>
      </c>
    </row>
    <row r="11" spans="1:8" ht="31.5" customHeight="1">
      <c r="A11" s="103" t="s">
        <v>64</v>
      </c>
      <c r="B11" s="45" t="s">
        <v>65</v>
      </c>
      <c r="C11" s="111">
        <v>46748</v>
      </c>
      <c r="D11" s="36">
        <f>ROUND(H11-('[6]REZERWA NA MIGRACJĘ'!$E$23-'[7]REZERWA NA MIGRACJĘ'!$E$23),0)</f>
        <v>51033</v>
      </c>
      <c r="E11" s="89">
        <f t="shared" si="0"/>
        <v>4285</v>
      </c>
      <c r="F11" s="90">
        <f t="shared" si="1"/>
        <v>1.0917</v>
      </c>
      <c r="H11" s="2">
        <v>51532</v>
      </c>
    </row>
    <row r="12" spans="1:8" ht="31.5" customHeight="1">
      <c r="A12" s="40" t="s">
        <v>4</v>
      </c>
      <c r="B12" s="102" t="s">
        <v>173</v>
      </c>
      <c r="C12" s="111">
        <v>73013</v>
      </c>
      <c r="D12" s="36">
        <f>ROUND(H12-('[6]REZERWA NA MIGRACJĘ'!$F$23-'[7]REZERWA NA MIGRACJĘ'!$F$23),0)</f>
        <v>65379</v>
      </c>
      <c r="E12" s="89">
        <f t="shared" si="0"/>
        <v>-7634</v>
      </c>
      <c r="F12" s="90">
        <f t="shared" si="1"/>
        <v>0.8954</v>
      </c>
      <c r="H12" s="2">
        <v>65825</v>
      </c>
    </row>
    <row r="13" spans="1:8" ht="31.5" customHeight="1">
      <c r="A13" s="40" t="s">
        <v>5</v>
      </c>
      <c r="B13" s="102" t="s">
        <v>168</v>
      </c>
      <c r="C13" s="111">
        <v>62732</v>
      </c>
      <c r="D13" s="36">
        <f>ROUND(H13-('[6]REZERWA NA MIGRACJĘ'!$G$23-'[7]REZERWA NA MIGRACJĘ'!$G$23),0)</f>
        <v>61304</v>
      </c>
      <c r="E13" s="89">
        <f t="shared" si="0"/>
        <v>-1428</v>
      </c>
      <c r="F13" s="90">
        <f t="shared" si="1"/>
        <v>0.9772</v>
      </c>
      <c r="H13" s="2">
        <v>61547</v>
      </c>
    </row>
    <row r="14" spans="1:8" ht="31.5" customHeight="1">
      <c r="A14" s="40" t="s">
        <v>6</v>
      </c>
      <c r="B14" s="102" t="s">
        <v>177</v>
      </c>
      <c r="C14" s="111">
        <v>36045</v>
      </c>
      <c r="D14" s="36">
        <f>ROUND(H14-('[6]REZERWA NA MIGRACJĘ'!$H$23-'[7]REZERWA NA MIGRACJĘ'!$H$23),0)</f>
        <v>33707</v>
      </c>
      <c r="E14" s="89">
        <f t="shared" si="0"/>
        <v>-2338</v>
      </c>
      <c r="F14" s="90">
        <f t="shared" si="1"/>
        <v>0.9351</v>
      </c>
      <c r="H14" s="2">
        <v>34361</v>
      </c>
    </row>
    <row r="15" spans="1:8" ht="31.5" customHeight="1">
      <c r="A15" s="40" t="s">
        <v>7</v>
      </c>
      <c r="B15" s="102" t="s">
        <v>176</v>
      </c>
      <c r="C15" s="111">
        <v>6444</v>
      </c>
      <c r="D15" s="36">
        <f>ROUND(H15-('[6]REZERWA NA MIGRACJĘ'!$I$23-'[7]REZERWA NA MIGRACJĘ'!$I$23),0)</f>
        <v>5817</v>
      </c>
      <c r="E15" s="89">
        <f>IF(C15=D15,"-",D15-C15)</f>
        <v>-627</v>
      </c>
      <c r="F15" s="90">
        <f>IF(C15=0,"-",D15/C15)</f>
        <v>0.9027</v>
      </c>
      <c r="H15" s="2">
        <v>5846</v>
      </c>
    </row>
    <row r="16" spans="1:8" ht="31.5" customHeight="1">
      <c r="A16" s="40" t="s">
        <v>8</v>
      </c>
      <c r="B16" s="102" t="s">
        <v>169</v>
      </c>
      <c r="C16" s="111">
        <v>96846</v>
      </c>
      <c r="D16" s="36">
        <f>ROUND(H16-('[6]REZERWA NA MIGRACJĘ'!$J23-'[7]REZERWA NA MIGRACJĘ'!$J$23),0)</f>
        <v>84390</v>
      </c>
      <c r="E16" s="89">
        <f t="shared" si="0"/>
        <v>-12456</v>
      </c>
      <c r="F16" s="90">
        <f t="shared" si="1"/>
        <v>0.8714</v>
      </c>
      <c r="H16" s="2">
        <v>84428</v>
      </c>
    </row>
    <row r="17" spans="1:8" ht="31.5" customHeight="1">
      <c r="A17" s="40" t="s">
        <v>9</v>
      </c>
      <c r="B17" s="102" t="s">
        <v>170</v>
      </c>
      <c r="C17" s="111">
        <v>32786</v>
      </c>
      <c r="D17" s="36">
        <f>ROUND(H17,0)</f>
        <v>18123</v>
      </c>
      <c r="E17" s="89">
        <f t="shared" si="0"/>
        <v>-14663</v>
      </c>
      <c r="F17" s="90">
        <f t="shared" si="1"/>
        <v>0.5528</v>
      </c>
      <c r="H17" s="2">
        <v>18123</v>
      </c>
    </row>
    <row r="18" spans="1:8" ht="31.5" customHeight="1">
      <c r="A18" s="40" t="s">
        <v>10</v>
      </c>
      <c r="B18" s="102" t="s">
        <v>178</v>
      </c>
      <c r="C18" s="111">
        <v>1748</v>
      </c>
      <c r="D18" s="36">
        <f>ROUND(H18,0)</f>
        <v>1748</v>
      </c>
      <c r="E18" s="89" t="str">
        <f t="shared" si="0"/>
        <v>-</v>
      </c>
      <c r="F18" s="90">
        <f t="shared" si="1"/>
        <v>1</v>
      </c>
      <c r="H18" s="2">
        <v>1748</v>
      </c>
    </row>
    <row r="19" spans="1:8" ht="46.5" customHeight="1">
      <c r="A19" s="40" t="s">
        <v>11</v>
      </c>
      <c r="B19" s="102" t="s">
        <v>171</v>
      </c>
      <c r="C19" s="111">
        <v>6117</v>
      </c>
      <c r="D19" s="36">
        <f>ROUND(H19-('[6]REZERWA NA MIGRACJĘ'!$K$23-'[7]REZERWA NA MIGRACJĘ'!$K$23),0)</f>
        <v>6625</v>
      </c>
      <c r="E19" s="89">
        <f t="shared" si="0"/>
        <v>508</v>
      </c>
      <c r="F19" s="90">
        <f t="shared" si="1"/>
        <v>1.083</v>
      </c>
      <c r="H19" s="2">
        <v>6632</v>
      </c>
    </row>
    <row r="20" spans="1:8" ht="31.5" customHeight="1">
      <c r="A20" s="40" t="s">
        <v>12</v>
      </c>
      <c r="B20" s="102" t="s">
        <v>172</v>
      </c>
      <c r="C20" s="111">
        <v>51123</v>
      </c>
      <c r="D20" s="36">
        <f>ROUND(H20-('[6]REZERWA NA MIGRACJĘ'!$L$23-'[7]REZERWA NA MIGRACJĘ'!$L$23),0)</f>
        <v>47317</v>
      </c>
      <c r="E20" s="89">
        <f t="shared" si="0"/>
        <v>-3806</v>
      </c>
      <c r="F20" s="90">
        <f t="shared" si="1"/>
        <v>0.9256</v>
      </c>
      <c r="H20" s="2">
        <v>48683</v>
      </c>
    </row>
    <row r="21" spans="1:8" ht="31.5" customHeight="1">
      <c r="A21" s="40" t="s">
        <v>14</v>
      </c>
      <c r="B21" s="46" t="s">
        <v>13</v>
      </c>
      <c r="C21" s="111">
        <v>30671</v>
      </c>
      <c r="D21" s="36">
        <f>H21</f>
        <v>25373</v>
      </c>
      <c r="E21" s="89">
        <f t="shared" si="0"/>
        <v>-5298</v>
      </c>
      <c r="F21" s="90">
        <f t="shared" si="1"/>
        <v>0.8273</v>
      </c>
      <c r="H21" s="2">
        <v>25373</v>
      </c>
    </row>
    <row r="22" spans="1:8" ht="31.5" customHeight="1">
      <c r="A22" s="41" t="s">
        <v>15</v>
      </c>
      <c r="B22" s="102" t="s">
        <v>174</v>
      </c>
      <c r="C22" s="111">
        <v>361063</v>
      </c>
      <c r="D22" s="36">
        <f>H22-1590</f>
        <v>359520</v>
      </c>
      <c r="E22" s="89">
        <f t="shared" si="0"/>
        <v>-1543</v>
      </c>
      <c r="F22" s="90">
        <f t="shared" si="1"/>
        <v>0.9957</v>
      </c>
      <c r="H22" s="2">
        <v>361110</v>
      </c>
    </row>
    <row r="23" spans="1:8" ht="31.5" customHeight="1">
      <c r="A23" s="39" t="s">
        <v>179</v>
      </c>
      <c r="B23" s="45" t="s">
        <v>66</v>
      </c>
      <c r="C23" s="111">
        <v>709</v>
      </c>
      <c r="D23" s="36">
        <f>H23</f>
        <v>709</v>
      </c>
      <c r="E23" s="89" t="str">
        <f t="shared" si="0"/>
        <v>-</v>
      </c>
      <c r="F23" s="90">
        <f t="shared" si="1"/>
        <v>1</v>
      </c>
      <c r="H23" s="2">
        <v>709</v>
      </c>
    </row>
    <row r="24" spans="1:8" ht="33" customHeight="1">
      <c r="A24" s="42" t="s">
        <v>16</v>
      </c>
      <c r="B24" s="47" t="s">
        <v>140</v>
      </c>
      <c r="C24" s="111">
        <v>0</v>
      </c>
      <c r="D24" s="36">
        <f>H24</f>
        <v>0</v>
      </c>
      <c r="E24" s="89" t="str">
        <f>IF(C24=D24,"-",D24-C24)</f>
        <v>-</v>
      </c>
      <c r="F24" s="90" t="str">
        <f>IF(C24=0,"-",D24/C24)</f>
        <v>-</v>
      </c>
      <c r="H24" s="2">
        <v>0</v>
      </c>
    </row>
    <row r="25" spans="1:8" ht="33" customHeight="1">
      <c r="A25" s="42" t="s">
        <v>137</v>
      </c>
      <c r="B25" s="48" t="s">
        <v>60</v>
      </c>
      <c r="C25" s="111">
        <v>0</v>
      </c>
      <c r="D25" s="36">
        <f>H25</f>
        <v>0</v>
      </c>
      <c r="E25" s="89" t="str">
        <f>IF(C25=D25,"-",D25-C25)</f>
        <v>-</v>
      </c>
      <c r="F25" s="90" t="str">
        <f>IF(C25=0,"-",D25/C25)</f>
        <v>-</v>
      </c>
      <c r="H25" s="2">
        <v>0</v>
      </c>
    </row>
    <row r="26" spans="1:8" ht="33" customHeight="1">
      <c r="A26" s="42" t="s">
        <v>138</v>
      </c>
      <c r="B26" s="48" t="s">
        <v>141</v>
      </c>
      <c r="C26" s="111">
        <v>100178</v>
      </c>
      <c r="D26" s="36">
        <f>ROUND('[6]REZERWA NA MIGRACJĘ'!$B$23,0)</f>
        <v>129308</v>
      </c>
      <c r="E26" s="89">
        <f>IF(C26=D26,"-",D26-C26)</f>
        <v>29130</v>
      </c>
      <c r="F26" s="90">
        <f>IF(C26=0,"-",D26/C26)</f>
        <v>1.2908</v>
      </c>
      <c r="H26" s="2">
        <v>120597</v>
      </c>
    </row>
    <row r="27" spans="1:8" ht="33" customHeight="1">
      <c r="A27" s="42" t="s">
        <v>139</v>
      </c>
      <c r="B27" s="48" t="s">
        <v>142</v>
      </c>
      <c r="C27" s="111">
        <v>2706</v>
      </c>
      <c r="D27" s="36">
        <f>ROUND(H27-('[6]REZERWA NA MIGRACJĘ'!$M$23-'[7]REZERWA NA MIGRACJĘ'!$M$23),0)</f>
        <v>2232</v>
      </c>
      <c r="E27" s="89">
        <f>IF(C27=D27,"-",D27-C27)</f>
        <v>-474</v>
      </c>
      <c r="F27" s="90">
        <f>IF(C27=0,"-",D27/C27)</f>
        <v>0.8248</v>
      </c>
      <c r="H27" s="2">
        <v>2245</v>
      </c>
    </row>
    <row r="28" spans="1:6" s="5" customFormat="1" ht="31.5" customHeight="1">
      <c r="A28" s="43" t="s">
        <v>68</v>
      </c>
      <c r="B28" s="49" t="s">
        <v>69</v>
      </c>
      <c r="C28" s="112">
        <v>0</v>
      </c>
      <c r="D28" s="119">
        <f>C28</f>
        <v>0</v>
      </c>
      <c r="E28" s="15" t="str">
        <f t="shared" si="0"/>
        <v>-</v>
      </c>
      <c r="F28" s="120" t="str">
        <f t="shared" si="1"/>
        <v>-</v>
      </c>
    </row>
    <row r="29" spans="1:6" s="5" customFormat="1" ht="31.5" customHeight="1">
      <c r="A29" s="43" t="s">
        <v>67</v>
      </c>
      <c r="B29" s="49" t="s">
        <v>70</v>
      </c>
      <c r="C29" s="112">
        <v>93966</v>
      </c>
      <c r="D29" s="119">
        <f>C29</f>
        <v>93966</v>
      </c>
      <c r="E29" s="15" t="str">
        <f t="shared" si="0"/>
        <v>-</v>
      </c>
      <c r="F29" s="120">
        <f t="shared" si="1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19547</v>
      </c>
      <c r="D30" s="34">
        <f>D31+D32+D33+D41+D42+D48+D49+D50+D47</f>
        <v>19547</v>
      </c>
      <c r="E30" s="13" t="str">
        <f>IF(C30=D30,"-",D30-C30)</f>
        <v>-</v>
      </c>
      <c r="F30" s="91">
        <f t="shared" si="1"/>
        <v>1</v>
      </c>
    </row>
    <row r="31" spans="1:6" ht="28.5" customHeight="1">
      <c r="A31" s="42" t="s">
        <v>19</v>
      </c>
      <c r="B31" s="51" t="s">
        <v>20</v>
      </c>
      <c r="C31" s="94">
        <v>830</v>
      </c>
      <c r="D31" s="35">
        <f>C31</f>
        <v>830</v>
      </c>
      <c r="E31" s="89" t="str">
        <f aca="true" t="shared" si="2" ref="E31:E51">IF(C31=D31,"-",D31-C31)</f>
        <v>-</v>
      </c>
      <c r="F31" s="90">
        <f t="shared" si="1"/>
        <v>1</v>
      </c>
    </row>
    <row r="32" spans="1:6" ht="28.5" customHeight="1">
      <c r="A32" s="42" t="s">
        <v>21</v>
      </c>
      <c r="B32" s="51" t="s">
        <v>22</v>
      </c>
      <c r="C32" s="94">
        <v>2095</v>
      </c>
      <c r="D32" s="35">
        <f>C32</f>
        <v>2095</v>
      </c>
      <c r="E32" s="89" t="str">
        <f t="shared" si="2"/>
        <v>-</v>
      </c>
      <c r="F32" s="90">
        <f t="shared" si="1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200</v>
      </c>
      <c r="D33" s="35">
        <f>D34+D36+D37+D38+D39+D40</f>
        <v>200</v>
      </c>
      <c r="E33" s="89" t="str">
        <f t="shared" si="2"/>
        <v>-</v>
      </c>
      <c r="F33" s="90">
        <f t="shared" si="1"/>
        <v>1</v>
      </c>
    </row>
    <row r="34" spans="1:6" ht="28.5" customHeight="1">
      <c r="A34" s="53" t="s">
        <v>45</v>
      </c>
      <c r="B34" s="54" t="s">
        <v>38</v>
      </c>
      <c r="C34" s="94">
        <v>24</v>
      </c>
      <c r="D34" s="35">
        <f>C34</f>
        <v>24</v>
      </c>
      <c r="E34" s="89" t="str">
        <f t="shared" si="2"/>
        <v>-</v>
      </c>
      <c r="F34" s="90">
        <f t="shared" si="1"/>
        <v>1</v>
      </c>
    </row>
    <row r="35" spans="1:6" ht="28.5" customHeight="1">
      <c r="A35" s="53" t="s">
        <v>46</v>
      </c>
      <c r="B35" s="55" t="s">
        <v>39</v>
      </c>
      <c r="C35" s="94">
        <v>24</v>
      </c>
      <c r="D35" s="35">
        <f aca="true" t="shared" si="3" ref="D35:D45">C35</f>
        <v>24</v>
      </c>
      <c r="E35" s="89" t="str">
        <f t="shared" si="2"/>
        <v>-</v>
      </c>
      <c r="F35" s="90">
        <f t="shared" si="1"/>
        <v>1</v>
      </c>
    </row>
    <row r="36" spans="1:6" ht="28.5" customHeight="1">
      <c r="A36" s="53" t="s">
        <v>47</v>
      </c>
      <c r="B36" s="54" t="s">
        <v>40</v>
      </c>
      <c r="C36" s="94">
        <v>1</v>
      </c>
      <c r="D36" s="35">
        <f t="shared" si="3"/>
        <v>1</v>
      </c>
      <c r="E36" s="89" t="str">
        <f t="shared" si="2"/>
        <v>-</v>
      </c>
      <c r="F36" s="90">
        <f t="shared" si="1"/>
        <v>1</v>
      </c>
    </row>
    <row r="37" spans="1:6" ht="28.5" customHeight="1">
      <c r="A37" s="53" t="s">
        <v>48</v>
      </c>
      <c r="B37" s="54" t="s">
        <v>41</v>
      </c>
      <c r="C37" s="94">
        <v>0</v>
      </c>
      <c r="D37" s="35">
        <f t="shared" si="3"/>
        <v>0</v>
      </c>
      <c r="E37" s="89" t="str">
        <f t="shared" si="2"/>
        <v>-</v>
      </c>
      <c r="F37" s="90" t="str">
        <f t="shared" si="1"/>
        <v>-</v>
      </c>
    </row>
    <row r="38" spans="1:6" ht="28.5" customHeight="1">
      <c r="A38" s="53" t="s">
        <v>49</v>
      </c>
      <c r="B38" s="54" t="s">
        <v>42</v>
      </c>
      <c r="C38" s="94">
        <v>0</v>
      </c>
      <c r="D38" s="35">
        <f t="shared" si="3"/>
        <v>0</v>
      </c>
      <c r="E38" s="89" t="str">
        <f t="shared" si="2"/>
        <v>-</v>
      </c>
      <c r="F38" s="90" t="str">
        <f t="shared" si="1"/>
        <v>-</v>
      </c>
    </row>
    <row r="39" spans="1:6" ht="28.5" customHeight="1">
      <c r="A39" s="53" t="s">
        <v>50</v>
      </c>
      <c r="B39" s="54" t="s">
        <v>43</v>
      </c>
      <c r="C39" s="94">
        <v>158</v>
      </c>
      <c r="D39" s="35">
        <f t="shared" si="3"/>
        <v>158</v>
      </c>
      <c r="E39" s="89" t="str">
        <f t="shared" si="2"/>
        <v>-</v>
      </c>
      <c r="F39" s="90">
        <f t="shared" si="1"/>
        <v>1</v>
      </c>
    </row>
    <row r="40" spans="1:6" ht="28.5" customHeight="1">
      <c r="A40" s="53" t="s">
        <v>51</v>
      </c>
      <c r="B40" s="54" t="s">
        <v>44</v>
      </c>
      <c r="C40" s="94">
        <v>17</v>
      </c>
      <c r="D40" s="35">
        <f t="shared" si="3"/>
        <v>17</v>
      </c>
      <c r="E40" s="89" t="str">
        <f t="shared" si="2"/>
        <v>-</v>
      </c>
      <c r="F40" s="90">
        <f t="shared" si="1"/>
        <v>1</v>
      </c>
    </row>
    <row r="41" spans="1:6" ht="28.5" customHeight="1">
      <c r="A41" s="42" t="s">
        <v>24</v>
      </c>
      <c r="B41" s="51" t="s">
        <v>25</v>
      </c>
      <c r="C41" s="35">
        <v>12134</v>
      </c>
      <c r="D41" s="35">
        <f t="shared" si="3"/>
        <v>12134</v>
      </c>
      <c r="E41" s="89" t="str">
        <f t="shared" si="2"/>
        <v>-</v>
      </c>
      <c r="F41" s="90">
        <f t="shared" si="1"/>
        <v>1</v>
      </c>
    </row>
    <row r="42" spans="1:6" ht="28.5" customHeight="1">
      <c r="A42" s="42" t="s">
        <v>26</v>
      </c>
      <c r="B42" s="52" t="s">
        <v>61</v>
      </c>
      <c r="C42" s="110">
        <f>C43+C44+C45+C46</f>
        <v>2453</v>
      </c>
      <c r="D42" s="35">
        <f>SUM(D43:D46)</f>
        <v>2453</v>
      </c>
      <c r="E42" s="89" t="str">
        <f t="shared" si="2"/>
        <v>-</v>
      </c>
      <c r="F42" s="90">
        <f t="shared" si="1"/>
        <v>1</v>
      </c>
    </row>
    <row r="43" spans="1:6" ht="28.5" customHeight="1">
      <c r="A43" s="53" t="s">
        <v>56</v>
      </c>
      <c r="B43" s="54" t="s">
        <v>52</v>
      </c>
      <c r="C43" s="35">
        <v>1843</v>
      </c>
      <c r="D43" s="35">
        <f>C43</f>
        <v>1843</v>
      </c>
      <c r="E43" s="89" t="str">
        <f t="shared" si="2"/>
        <v>-</v>
      </c>
      <c r="F43" s="90">
        <f t="shared" si="1"/>
        <v>1</v>
      </c>
    </row>
    <row r="44" spans="1:6" ht="28.5" customHeight="1">
      <c r="A44" s="53" t="s">
        <v>57</v>
      </c>
      <c r="B44" s="54" t="s">
        <v>53</v>
      </c>
      <c r="C44" s="35">
        <v>297</v>
      </c>
      <c r="D44" s="35">
        <f>C44</f>
        <v>297</v>
      </c>
      <c r="E44" s="89" t="str">
        <f t="shared" si="2"/>
        <v>-</v>
      </c>
      <c r="F44" s="90">
        <f t="shared" si="1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3"/>
        <v>0</v>
      </c>
      <c r="E45" s="89" t="str">
        <f t="shared" si="2"/>
        <v>-</v>
      </c>
      <c r="F45" s="90" t="str">
        <f t="shared" si="1"/>
        <v>-</v>
      </c>
    </row>
    <row r="46" spans="1:6" ht="28.5" customHeight="1">
      <c r="A46" s="53" t="s">
        <v>59</v>
      </c>
      <c r="B46" s="54" t="s">
        <v>55</v>
      </c>
      <c r="C46" s="35">
        <v>313</v>
      </c>
      <c r="D46" s="35">
        <f>C46</f>
        <v>313</v>
      </c>
      <c r="E46" s="89" t="str">
        <f t="shared" si="2"/>
        <v>-</v>
      </c>
      <c r="F46" s="90">
        <f t="shared" si="1"/>
        <v>1</v>
      </c>
    </row>
    <row r="47" spans="1:6" ht="28.5" customHeight="1">
      <c r="A47" s="42" t="s">
        <v>27</v>
      </c>
      <c r="B47" s="51" t="s">
        <v>28</v>
      </c>
      <c r="C47" s="94">
        <v>0</v>
      </c>
      <c r="D47" s="35">
        <f>C47</f>
        <v>0</v>
      </c>
      <c r="E47" s="89" t="str">
        <f t="shared" si="2"/>
        <v>-</v>
      </c>
      <c r="F47" s="90" t="str">
        <f aca="true" t="shared" si="4" ref="F47:F55">IF(C47=0,"-",D47/C47)</f>
        <v>-</v>
      </c>
    </row>
    <row r="48" spans="1:6" ht="48" customHeight="1">
      <c r="A48" s="42" t="s">
        <v>29</v>
      </c>
      <c r="B48" s="51" t="s">
        <v>116</v>
      </c>
      <c r="C48" s="111">
        <v>1438</v>
      </c>
      <c r="D48" s="35">
        <f>C48</f>
        <v>1438</v>
      </c>
      <c r="E48" s="89" t="str">
        <f t="shared" si="2"/>
        <v>-</v>
      </c>
      <c r="F48" s="92">
        <f t="shared" si="4"/>
        <v>1</v>
      </c>
    </row>
    <row r="49" spans="1:6" ht="43.5" customHeight="1">
      <c r="A49" s="42" t="s">
        <v>30</v>
      </c>
      <c r="B49" s="51" t="s">
        <v>31</v>
      </c>
      <c r="C49" s="111">
        <v>209</v>
      </c>
      <c r="D49" s="35">
        <f>C49</f>
        <v>209</v>
      </c>
      <c r="E49" s="89" t="str">
        <f t="shared" si="2"/>
        <v>-</v>
      </c>
      <c r="F49" s="92">
        <f t="shared" si="4"/>
        <v>1</v>
      </c>
    </row>
    <row r="50" spans="1:6" ht="35.25" customHeight="1">
      <c r="A50" s="42" t="s">
        <v>32</v>
      </c>
      <c r="B50" s="51" t="s">
        <v>33</v>
      </c>
      <c r="C50" s="94">
        <v>188</v>
      </c>
      <c r="D50" s="35">
        <f>C50</f>
        <v>188</v>
      </c>
      <c r="E50" s="89" t="str">
        <f t="shared" si="2"/>
        <v>-</v>
      </c>
      <c r="F50" s="90">
        <f t="shared" si="4"/>
        <v>1</v>
      </c>
    </row>
    <row r="51" spans="1:6" s="3" customFormat="1" ht="30" customHeight="1">
      <c r="A51" s="44" t="s">
        <v>34</v>
      </c>
      <c r="B51" s="56" t="s">
        <v>175</v>
      </c>
      <c r="C51" s="38">
        <f>SUM(C52:C55)</f>
        <v>9565</v>
      </c>
      <c r="D51" s="38">
        <f>SUM(D52:D55)</f>
        <v>9565</v>
      </c>
      <c r="E51" s="13" t="str">
        <f t="shared" si="2"/>
        <v>-</v>
      </c>
      <c r="F51" s="93">
        <f t="shared" si="4"/>
        <v>1</v>
      </c>
    </row>
    <row r="52" spans="1:6" ht="42" customHeight="1">
      <c r="A52" s="42" t="s">
        <v>119</v>
      </c>
      <c r="B52" s="51" t="s">
        <v>144</v>
      </c>
      <c r="C52" s="94">
        <v>15</v>
      </c>
      <c r="D52" s="35">
        <f>C52</f>
        <v>15</v>
      </c>
      <c r="E52" s="94" t="str">
        <f>IF(C52=D52,"-",D52-C52)</f>
        <v>-</v>
      </c>
      <c r="F52" s="100">
        <f t="shared" si="4"/>
        <v>1</v>
      </c>
    </row>
    <row r="53" spans="1:6" ht="31.5" customHeight="1">
      <c r="A53" s="42" t="s">
        <v>35</v>
      </c>
      <c r="B53" s="51" t="s">
        <v>63</v>
      </c>
      <c r="C53" s="94">
        <v>9330</v>
      </c>
      <c r="D53" s="35">
        <f>C53</f>
        <v>9330</v>
      </c>
      <c r="E53" s="94" t="str">
        <f>IF(C53=D53,"-",D53-C53)</f>
        <v>-</v>
      </c>
      <c r="F53" s="100">
        <f t="shared" si="4"/>
        <v>1</v>
      </c>
    </row>
    <row r="54" spans="1:6" ht="31.5" customHeight="1">
      <c r="A54" s="42" t="s">
        <v>36</v>
      </c>
      <c r="B54" s="51" t="s">
        <v>121</v>
      </c>
      <c r="C54" s="94">
        <v>0</v>
      </c>
      <c r="D54" s="35">
        <f>C54</f>
        <v>0</v>
      </c>
      <c r="E54" s="94" t="str">
        <f>IF(C54=D54,"-",D54-C54)</f>
        <v>-</v>
      </c>
      <c r="F54" s="100" t="str">
        <f t="shared" si="4"/>
        <v>-</v>
      </c>
    </row>
    <row r="55" spans="1:6" ht="31.5" customHeight="1">
      <c r="A55" s="42" t="s">
        <v>120</v>
      </c>
      <c r="B55" s="51" t="s">
        <v>122</v>
      </c>
      <c r="C55" s="94">
        <v>220</v>
      </c>
      <c r="D55" s="35">
        <f>C55</f>
        <v>220</v>
      </c>
      <c r="E55" s="94" t="str">
        <f>IF(C55=D55,"-",D55-C55)</f>
        <v>-</v>
      </c>
      <c r="F55" s="100">
        <f t="shared" si="4"/>
        <v>1</v>
      </c>
    </row>
    <row r="56" spans="1:6" ht="32.25" customHeight="1">
      <c r="A56" s="44" t="s">
        <v>127</v>
      </c>
      <c r="B56" s="56" t="s">
        <v>155</v>
      </c>
      <c r="C56" s="113">
        <v>18</v>
      </c>
      <c r="D56" s="38">
        <f>C56</f>
        <v>18</v>
      </c>
      <c r="E56" s="13" t="str">
        <f>IF(C56=D56,"-",D56-C56)</f>
        <v>-</v>
      </c>
      <c r="F56" s="93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55" zoomScaleNormal="55" zoomScaleSheetLayoutView="55" zoomScalePageLayoutView="0" workbookViewId="0" topLeftCell="A1">
      <pane xSplit="1" ySplit="7" topLeftCell="B8" activePane="bottomRight" state="frozen"/>
      <selection pane="topLeft" activeCell="G1" sqref="G1:AA16384"/>
      <selection pane="topRight" activeCell="G1" sqref="G1:AA16384"/>
      <selection pane="bottomLeft" activeCell="G1" sqref="G1:AA16384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27" width="0" style="2" hidden="1" customWidth="1"/>
    <col min="28" max="16384" width="9.125" style="2" customWidth="1"/>
  </cols>
  <sheetData>
    <row r="1" spans="1:6" s="59" customFormat="1" ht="39" customHeight="1">
      <c r="A1" s="129" t="str">
        <f>NFZ!A1</f>
        <v>ZMIANA PLANU FINANSOWEGO NARODOWEGO FUNDUSZU ZDROWIA NA 2010 ROK Z 16 GRUDNIA 2009 ROKU</v>
      </c>
      <c r="B1" s="129"/>
      <c r="C1" s="129"/>
      <c r="D1" s="129"/>
      <c r="E1" s="129"/>
      <c r="F1" s="129"/>
    </row>
    <row r="2" spans="1:3" s="61" customFormat="1" ht="33" customHeight="1">
      <c r="A2" s="130" t="s">
        <v>89</v>
      </c>
      <c r="B2" s="130"/>
      <c r="C2" s="130"/>
    </row>
    <row r="3" spans="1:6" ht="33" customHeight="1">
      <c r="A3" s="1"/>
      <c r="B3" s="87"/>
      <c r="D3" s="30"/>
      <c r="E3" s="30"/>
      <c r="F3" s="30" t="s">
        <v>90</v>
      </c>
    </row>
    <row r="4" spans="1:6" s="6" customFormat="1" ht="33" customHeight="1">
      <c r="A4" s="131" t="s">
        <v>165</v>
      </c>
      <c r="B4" s="131" t="s">
        <v>62</v>
      </c>
      <c r="C4" s="127" t="s">
        <v>202</v>
      </c>
      <c r="D4" s="124" t="s">
        <v>159</v>
      </c>
      <c r="E4" s="126" t="s">
        <v>164</v>
      </c>
      <c r="F4" s="126" t="s">
        <v>163</v>
      </c>
    </row>
    <row r="5" spans="1:6" s="6" customFormat="1" ht="33" customHeight="1">
      <c r="A5" s="131"/>
      <c r="B5" s="131"/>
      <c r="C5" s="128"/>
      <c r="D5" s="125"/>
      <c r="E5" s="126"/>
      <c r="F5" s="126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427230</v>
      </c>
      <c r="D7" s="16">
        <f>D8+D9+D10+D12+D13+D14+D15+D16+D17+D18+D19+D20+D21+D22+D24+D25+D26+D27</f>
        <v>427230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46" t="s">
        <v>166</v>
      </c>
      <c r="C8" s="36">
        <v>0</v>
      </c>
      <c r="D8" s="36">
        <f>C8</f>
        <v>0</v>
      </c>
      <c r="E8" s="89" t="str">
        <f aca="true" t="shared" si="0" ref="E8:E29">IF(C8=D8,"-",D8-C8)</f>
        <v>-</v>
      </c>
      <c r="F8" s="90" t="str">
        <f aca="true" t="shared" si="1" ref="F8:F46">IF(C8=0,"-",D8/C8)</f>
        <v>-</v>
      </c>
    </row>
    <row r="9" spans="1:6" ht="31.5" customHeight="1">
      <c r="A9" s="40" t="s">
        <v>2</v>
      </c>
      <c r="B9" s="46" t="s">
        <v>167</v>
      </c>
      <c r="C9" s="36">
        <v>0</v>
      </c>
      <c r="D9" s="36">
        <f aca="true" t="shared" si="2" ref="D9:D29">C9</f>
        <v>0</v>
      </c>
      <c r="E9" s="89" t="str">
        <f t="shared" si="0"/>
        <v>-</v>
      </c>
      <c r="F9" s="90" t="str">
        <f t="shared" si="1"/>
        <v>-</v>
      </c>
    </row>
    <row r="10" spans="1:6" ht="31.5" customHeight="1">
      <c r="A10" s="40" t="s">
        <v>3</v>
      </c>
      <c r="B10" s="46" t="s">
        <v>158</v>
      </c>
      <c r="C10" s="36">
        <v>0</v>
      </c>
      <c r="D10" s="36">
        <f t="shared" si="2"/>
        <v>0</v>
      </c>
      <c r="E10" s="89" t="str">
        <f t="shared" si="0"/>
        <v>-</v>
      </c>
      <c r="F10" s="90" t="str">
        <f t="shared" si="1"/>
        <v>-</v>
      </c>
    </row>
    <row r="11" spans="1:6" ht="31.5" customHeight="1">
      <c r="A11" s="39" t="s">
        <v>64</v>
      </c>
      <c r="B11" s="45" t="s">
        <v>65</v>
      </c>
      <c r="C11" s="36">
        <v>0</v>
      </c>
      <c r="D11" s="36">
        <f>C11</f>
        <v>0</v>
      </c>
      <c r="E11" s="89" t="str">
        <f t="shared" si="0"/>
        <v>-</v>
      </c>
      <c r="F11" s="90" t="str">
        <f t="shared" si="1"/>
        <v>-</v>
      </c>
    </row>
    <row r="12" spans="1:6" ht="31.5" customHeight="1">
      <c r="A12" s="40" t="s">
        <v>4</v>
      </c>
      <c r="B12" s="46" t="s">
        <v>173</v>
      </c>
      <c r="C12" s="36">
        <v>0</v>
      </c>
      <c r="D12" s="36">
        <f t="shared" si="2"/>
        <v>0</v>
      </c>
      <c r="E12" s="89" t="str">
        <f t="shared" si="0"/>
        <v>-</v>
      </c>
      <c r="F12" s="90" t="str">
        <f t="shared" si="1"/>
        <v>-</v>
      </c>
    </row>
    <row r="13" spans="1:6" ht="31.5" customHeight="1">
      <c r="A13" s="40" t="s">
        <v>5</v>
      </c>
      <c r="B13" s="46" t="s">
        <v>168</v>
      </c>
      <c r="C13" s="36">
        <v>0</v>
      </c>
      <c r="D13" s="36">
        <f t="shared" si="2"/>
        <v>0</v>
      </c>
      <c r="E13" s="89" t="str">
        <f t="shared" si="0"/>
        <v>-</v>
      </c>
      <c r="F13" s="90" t="str">
        <f t="shared" si="1"/>
        <v>-</v>
      </c>
    </row>
    <row r="14" spans="1:6" ht="31.5" customHeight="1">
      <c r="A14" s="40" t="s">
        <v>6</v>
      </c>
      <c r="B14" s="46" t="s">
        <v>177</v>
      </c>
      <c r="C14" s="36">
        <v>0</v>
      </c>
      <c r="D14" s="36">
        <f t="shared" si="2"/>
        <v>0</v>
      </c>
      <c r="E14" s="89" t="str">
        <f t="shared" si="0"/>
        <v>-</v>
      </c>
      <c r="F14" s="90" t="str">
        <f t="shared" si="1"/>
        <v>-</v>
      </c>
    </row>
    <row r="15" spans="1:6" ht="31.5" customHeight="1">
      <c r="A15" s="40" t="s">
        <v>7</v>
      </c>
      <c r="B15" s="46" t="s">
        <v>176</v>
      </c>
      <c r="C15" s="36">
        <v>0</v>
      </c>
      <c r="D15" s="36">
        <f>C15</f>
        <v>0</v>
      </c>
      <c r="E15" s="89" t="str">
        <f>IF(C15=D15,"-",D15-C15)</f>
        <v>-</v>
      </c>
      <c r="F15" s="90" t="str">
        <f>IF(C15=0,"-",D15/C15)</f>
        <v>-</v>
      </c>
    </row>
    <row r="16" spans="1:6" ht="31.5" customHeight="1">
      <c r="A16" s="40" t="s">
        <v>8</v>
      </c>
      <c r="B16" s="46" t="s">
        <v>169</v>
      </c>
      <c r="C16" s="36">
        <v>0</v>
      </c>
      <c r="D16" s="36">
        <f t="shared" si="2"/>
        <v>0</v>
      </c>
      <c r="E16" s="89" t="str">
        <f t="shared" si="0"/>
        <v>-</v>
      </c>
      <c r="F16" s="90" t="str">
        <f t="shared" si="1"/>
        <v>-</v>
      </c>
    </row>
    <row r="17" spans="1:6" ht="31.5" customHeight="1">
      <c r="A17" s="40" t="s">
        <v>9</v>
      </c>
      <c r="B17" s="46" t="s">
        <v>170</v>
      </c>
      <c r="C17" s="36">
        <v>0</v>
      </c>
      <c r="D17" s="36">
        <f t="shared" si="2"/>
        <v>0</v>
      </c>
      <c r="E17" s="89" t="str">
        <f t="shared" si="0"/>
        <v>-</v>
      </c>
      <c r="F17" s="90" t="str">
        <f t="shared" si="1"/>
        <v>-</v>
      </c>
    </row>
    <row r="18" spans="1:6" ht="31.5" customHeight="1">
      <c r="A18" s="40" t="s">
        <v>10</v>
      </c>
      <c r="B18" s="46" t="s">
        <v>178</v>
      </c>
      <c r="C18" s="36">
        <v>0</v>
      </c>
      <c r="D18" s="36">
        <f t="shared" si="2"/>
        <v>0</v>
      </c>
      <c r="E18" s="89" t="str">
        <f t="shared" si="0"/>
        <v>-</v>
      </c>
      <c r="F18" s="90" t="str">
        <f t="shared" si="1"/>
        <v>-</v>
      </c>
    </row>
    <row r="19" spans="1:6" ht="46.5" customHeight="1">
      <c r="A19" s="40" t="s">
        <v>11</v>
      </c>
      <c r="B19" s="46" t="s">
        <v>171</v>
      </c>
      <c r="C19" s="36">
        <v>0</v>
      </c>
      <c r="D19" s="36">
        <f t="shared" si="2"/>
        <v>0</v>
      </c>
      <c r="E19" s="89" t="str">
        <f t="shared" si="0"/>
        <v>-</v>
      </c>
      <c r="F19" s="90" t="str">
        <f t="shared" si="1"/>
        <v>-</v>
      </c>
    </row>
    <row r="20" spans="1:6" ht="31.5" customHeight="1">
      <c r="A20" s="40" t="s">
        <v>12</v>
      </c>
      <c r="B20" s="46" t="s">
        <v>172</v>
      </c>
      <c r="C20" s="36">
        <v>0</v>
      </c>
      <c r="D20" s="36">
        <f t="shared" si="2"/>
        <v>0</v>
      </c>
      <c r="E20" s="89" t="str">
        <f t="shared" si="0"/>
        <v>-</v>
      </c>
      <c r="F20" s="90" t="str">
        <f t="shared" si="1"/>
        <v>-</v>
      </c>
    </row>
    <row r="21" spans="1:6" ht="31.5" customHeight="1">
      <c r="A21" s="40" t="s">
        <v>14</v>
      </c>
      <c r="B21" s="46" t="s">
        <v>13</v>
      </c>
      <c r="C21" s="36">
        <v>0</v>
      </c>
      <c r="D21" s="36">
        <f t="shared" si="2"/>
        <v>0</v>
      </c>
      <c r="E21" s="89" t="str">
        <f t="shared" si="0"/>
        <v>-</v>
      </c>
      <c r="F21" s="90" t="str">
        <f t="shared" si="1"/>
        <v>-</v>
      </c>
    </row>
    <row r="22" spans="1:6" ht="31.5" customHeight="1">
      <c r="A22" s="41" t="s">
        <v>15</v>
      </c>
      <c r="B22" s="102" t="s">
        <v>174</v>
      </c>
      <c r="C22" s="36">
        <v>0</v>
      </c>
      <c r="D22" s="36">
        <f t="shared" si="2"/>
        <v>0</v>
      </c>
      <c r="E22" s="89" t="str">
        <f t="shared" si="0"/>
        <v>-</v>
      </c>
      <c r="F22" s="90" t="str">
        <f t="shared" si="1"/>
        <v>-</v>
      </c>
    </row>
    <row r="23" spans="1:6" ht="31.5" customHeight="1">
      <c r="A23" s="39" t="s">
        <v>179</v>
      </c>
      <c r="B23" s="45" t="s">
        <v>66</v>
      </c>
      <c r="C23" s="36">
        <v>0</v>
      </c>
      <c r="D23" s="36">
        <f t="shared" si="2"/>
        <v>0</v>
      </c>
      <c r="E23" s="89" t="str">
        <f t="shared" si="0"/>
        <v>-</v>
      </c>
      <c r="F23" s="90" t="str">
        <f t="shared" si="1"/>
        <v>-</v>
      </c>
    </row>
    <row r="24" spans="1:6" ht="33" customHeight="1">
      <c r="A24" s="42" t="s">
        <v>16</v>
      </c>
      <c r="B24" s="47" t="s">
        <v>140</v>
      </c>
      <c r="C24" s="36">
        <v>416230</v>
      </c>
      <c r="D24" s="36">
        <f>C24</f>
        <v>416230</v>
      </c>
      <c r="E24" s="89" t="str">
        <f>IF(C24=D24,"-",D24-C24)</f>
        <v>-</v>
      </c>
      <c r="F24" s="90">
        <f>IF(C24=0,"-",D24/C24)</f>
        <v>1</v>
      </c>
    </row>
    <row r="25" spans="1:6" ht="33" customHeight="1">
      <c r="A25" s="42" t="s">
        <v>137</v>
      </c>
      <c r="B25" s="48" t="s">
        <v>60</v>
      </c>
      <c r="C25" s="116">
        <v>11000</v>
      </c>
      <c r="D25" s="36">
        <f>C25</f>
        <v>11000</v>
      </c>
      <c r="E25" s="89" t="str">
        <f>IF(C25=D25,"-",D25-C25)</f>
        <v>-</v>
      </c>
      <c r="F25" s="90">
        <f>IF(C25=0,"-",D25/C25)</f>
        <v>1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2"/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0</v>
      </c>
      <c r="D27" s="36">
        <f t="shared" si="2"/>
        <v>0</v>
      </c>
      <c r="E27" s="89" t="str">
        <f>IF(C27=D27,"-",D27-C27)</f>
        <v>-</v>
      </c>
      <c r="F27" s="90" t="str">
        <f>IF(C27=0,"-",D27/C27)</f>
        <v>-</v>
      </c>
    </row>
    <row r="28" spans="1:6" s="5" customFormat="1" ht="31.5" customHeight="1">
      <c r="A28" s="43" t="s">
        <v>68</v>
      </c>
      <c r="B28" s="49" t="s">
        <v>69</v>
      </c>
      <c r="C28" s="117">
        <v>0</v>
      </c>
      <c r="D28" s="119">
        <f>C28</f>
        <v>0</v>
      </c>
      <c r="E28" s="15" t="str">
        <f t="shared" si="0"/>
        <v>-</v>
      </c>
      <c r="F28" s="120" t="str">
        <f t="shared" si="1"/>
        <v>-</v>
      </c>
    </row>
    <row r="29" spans="1:6" s="5" customFormat="1" ht="31.5" customHeight="1">
      <c r="A29" s="43" t="s">
        <v>67</v>
      </c>
      <c r="B29" s="49" t="s">
        <v>70</v>
      </c>
      <c r="C29" s="118">
        <v>0</v>
      </c>
      <c r="D29" s="119">
        <f t="shared" si="2"/>
        <v>0</v>
      </c>
      <c r="E29" s="15" t="str">
        <f t="shared" si="0"/>
        <v>-</v>
      </c>
      <c r="F29" s="120" t="str">
        <f t="shared" si="1"/>
        <v>-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177819</v>
      </c>
      <c r="D30" s="34">
        <f>D31+D32+D33+D41+D42+D48+D49+D50+D47</f>
        <v>177819</v>
      </c>
      <c r="E30" s="13" t="str">
        <f>IF(C30=D30,"-",D30-C30)</f>
        <v>-</v>
      </c>
      <c r="F30" s="91">
        <f t="shared" si="1"/>
        <v>1</v>
      </c>
    </row>
    <row r="31" spans="1:6" ht="28.5" customHeight="1">
      <c r="A31" s="42" t="s">
        <v>19</v>
      </c>
      <c r="B31" s="51" t="s">
        <v>20</v>
      </c>
      <c r="C31" s="35">
        <v>3130</v>
      </c>
      <c r="D31" s="35">
        <f>C31</f>
        <v>3130</v>
      </c>
      <c r="E31" s="89" t="str">
        <f aca="true" t="shared" si="3" ref="E31:E51">IF(C31=D31,"-",D31-C31)</f>
        <v>-</v>
      </c>
      <c r="F31" s="90">
        <f t="shared" si="1"/>
        <v>1</v>
      </c>
    </row>
    <row r="32" spans="1:6" ht="28.5" customHeight="1">
      <c r="A32" s="42" t="s">
        <v>21</v>
      </c>
      <c r="B32" s="51" t="s">
        <v>22</v>
      </c>
      <c r="C32" s="35">
        <v>69122</v>
      </c>
      <c r="D32" s="35">
        <f>C32</f>
        <v>69122</v>
      </c>
      <c r="E32" s="89" t="str">
        <f t="shared" si="3"/>
        <v>-</v>
      </c>
      <c r="F32" s="90">
        <f t="shared" si="1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370</v>
      </c>
      <c r="D33" s="35">
        <f>D34+D36+D37+D38+D39+D40</f>
        <v>370</v>
      </c>
      <c r="E33" s="89" t="str">
        <f t="shared" si="3"/>
        <v>-</v>
      </c>
      <c r="F33" s="90">
        <f t="shared" si="1"/>
        <v>1</v>
      </c>
    </row>
    <row r="34" spans="1:6" ht="28.5" customHeight="1">
      <c r="A34" s="53" t="s">
        <v>45</v>
      </c>
      <c r="B34" s="54" t="s">
        <v>38</v>
      </c>
      <c r="C34" s="35">
        <v>29</v>
      </c>
      <c r="D34" s="35">
        <f>C34</f>
        <v>29</v>
      </c>
      <c r="E34" s="89" t="str">
        <f t="shared" si="3"/>
        <v>-</v>
      </c>
      <c r="F34" s="90">
        <f t="shared" si="1"/>
        <v>1</v>
      </c>
    </row>
    <row r="35" spans="1:6" ht="28.5" customHeight="1">
      <c r="A35" s="53" t="s">
        <v>46</v>
      </c>
      <c r="B35" s="55" t="s">
        <v>39</v>
      </c>
      <c r="C35" s="35">
        <v>29</v>
      </c>
      <c r="D35" s="35">
        <f aca="true" t="shared" si="4" ref="D35:D40">C35</f>
        <v>29</v>
      </c>
      <c r="E35" s="89" t="str">
        <f t="shared" si="3"/>
        <v>-</v>
      </c>
      <c r="F35" s="90">
        <f t="shared" si="1"/>
        <v>1</v>
      </c>
    </row>
    <row r="36" spans="1:6" ht="28.5" customHeight="1">
      <c r="A36" s="53" t="s">
        <v>47</v>
      </c>
      <c r="B36" s="54" t="s">
        <v>40</v>
      </c>
      <c r="C36" s="35">
        <v>29</v>
      </c>
      <c r="D36" s="35">
        <f t="shared" si="4"/>
        <v>29</v>
      </c>
      <c r="E36" s="89" t="str">
        <f t="shared" si="3"/>
        <v>-</v>
      </c>
      <c r="F36" s="90">
        <f t="shared" si="1"/>
        <v>1</v>
      </c>
    </row>
    <row r="37" spans="1:6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1"/>
        <v>-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1"/>
        <v>-</v>
      </c>
    </row>
    <row r="39" spans="1:6" ht="28.5" customHeight="1">
      <c r="A39" s="53" t="s">
        <v>50</v>
      </c>
      <c r="B39" s="54" t="s">
        <v>43</v>
      </c>
      <c r="C39" s="35">
        <v>309</v>
      </c>
      <c r="D39" s="35">
        <f t="shared" si="4"/>
        <v>309</v>
      </c>
      <c r="E39" s="89" t="str">
        <f t="shared" si="3"/>
        <v>-</v>
      </c>
      <c r="F39" s="90">
        <f t="shared" si="1"/>
        <v>1</v>
      </c>
    </row>
    <row r="40" spans="1:6" ht="28.5" customHeight="1">
      <c r="A40" s="53" t="s">
        <v>51</v>
      </c>
      <c r="B40" s="54" t="s">
        <v>44</v>
      </c>
      <c r="C40" s="35">
        <v>3</v>
      </c>
      <c r="D40" s="35">
        <f t="shared" si="4"/>
        <v>3</v>
      </c>
      <c r="E40" s="89" t="str">
        <f t="shared" si="3"/>
        <v>-</v>
      </c>
      <c r="F40" s="90">
        <f t="shared" si="1"/>
        <v>1</v>
      </c>
    </row>
    <row r="41" spans="1:6" ht="28.5" customHeight="1">
      <c r="A41" s="42" t="s">
        <v>24</v>
      </c>
      <c r="B41" s="51" t="s">
        <v>25</v>
      </c>
      <c r="C41" s="35">
        <f>'[5]Ubezp soł i inne na 3 l + infor'!$B$22</f>
        <v>30429</v>
      </c>
      <c r="D41" s="35">
        <f>C41</f>
        <v>30429</v>
      </c>
      <c r="E41" s="89" t="str">
        <f t="shared" si="3"/>
        <v>-</v>
      </c>
      <c r="F41" s="90">
        <f t="shared" si="1"/>
        <v>1</v>
      </c>
    </row>
    <row r="42" spans="1:6" ht="28.5" customHeight="1">
      <c r="A42" s="42" t="s">
        <v>26</v>
      </c>
      <c r="B42" s="52" t="s">
        <v>61</v>
      </c>
      <c r="C42" s="110">
        <f>C43+C44+C45+C46</f>
        <v>7060</v>
      </c>
      <c r="D42" s="35">
        <f>SUM(D43:D46)</f>
        <v>7060</v>
      </c>
      <c r="E42" s="89" t="str">
        <f t="shared" si="3"/>
        <v>-</v>
      </c>
      <c r="F42" s="90">
        <f t="shared" si="1"/>
        <v>1</v>
      </c>
    </row>
    <row r="43" spans="1:6" ht="28.5" customHeight="1">
      <c r="A43" s="53" t="s">
        <v>56</v>
      </c>
      <c r="B43" s="54" t="s">
        <v>52</v>
      </c>
      <c r="C43" s="35">
        <f>'[5]Ubezp soł i inne na 3 l + infor'!$D$22</f>
        <v>4622</v>
      </c>
      <c r="D43" s="35">
        <f aca="true" t="shared" si="5" ref="D43:D50">C43</f>
        <v>4622</v>
      </c>
      <c r="E43" s="89" t="str">
        <f t="shared" si="3"/>
        <v>-</v>
      </c>
      <c r="F43" s="90">
        <f t="shared" si="1"/>
        <v>1</v>
      </c>
    </row>
    <row r="44" spans="1:6" ht="28.5" customHeight="1">
      <c r="A44" s="53" t="s">
        <v>57</v>
      </c>
      <c r="B44" s="54" t="s">
        <v>53</v>
      </c>
      <c r="C44" s="35">
        <f>'[5]Ubezp soł i inne na 3 l + infor'!$E$22</f>
        <v>746</v>
      </c>
      <c r="D44" s="35">
        <f t="shared" si="5"/>
        <v>746</v>
      </c>
      <c r="E44" s="89" t="str">
        <f t="shared" si="3"/>
        <v>-</v>
      </c>
      <c r="F44" s="90">
        <f t="shared" si="1"/>
        <v>1</v>
      </c>
    </row>
    <row r="45" spans="1:6" ht="28.5" customHeight="1">
      <c r="A45" s="53" t="s">
        <v>58</v>
      </c>
      <c r="B45" s="54" t="s">
        <v>54</v>
      </c>
      <c r="C45" s="35">
        <f>'[5]Ubezp soł i inne na 3 l + infor'!$F$22</f>
        <v>0</v>
      </c>
      <c r="D45" s="35">
        <f t="shared" si="5"/>
        <v>0</v>
      </c>
      <c r="E45" s="89" t="str">
        <f t="shared" si="3"/>
        <v>-</v>
      </c>
      <c r="F45" s="90" t="str">
        <f t="shared" si="1"/>
        <v>-</v>
      </c>
    </row>
    <row r="46" spans="1:6" ht="28.5" customHeight="1">
      <c r="A46" s="53" t="s">
        <v>59</v>
      </c>
      <c r="B46" s="54" t="s">
        <v>55</v>
      </c>
      <c r="C46" s="35">
        <f>'[5]Ubezp soł i inne na 3 l + infor'!$G$22</f>
        <v>1692</v>
      </c>
      <c r="D46" s="35">
        <f t="shared" si="5"/>
        <v>1692</v>
      </c>
      <c r="E46" s="89" t="str">
        <f t="shared" si="3"/>
        <v>-</v>
      </c>
      <c r="F46" s="90">
        <f t="shared" si="1"/>
        <v>1</v>
      </c>
    </row>
    <row r="47" spans="1:6" ht="28.5" customHeight="1">
      <c r="A47" s="42" t="s">
        <v>27</v>
      </c>
      <c r="B47" s="51" t="s">
        <v>28</v>
      </c>
      <c r="C47" s="35">
        <v>200</v>
      </c>
      <c r="D47" s="35">
        <f t="shared" si="5"/>
        <v>200</v>
      </c>
      <c r="E47" s="89" t="str">
        <f t="shared" si="3"/>
        <v>-</v>
      </c>
      <c r="F47" s="90">
        <f aca="true" t="shared" si="6" ref="F47:F56">IF(C47=0,"-",D47/C47)</f>
        <v>1</v>
      </c>
    </row>
    <row r="48" spans="1:6" ht="48" customHeight="1">
      <c r="A48" s="42" t="s">
        <v>29</v>
      </c>
      <c r="B48" s="51" t="s">
        <v>116</v>
      </c>
      <c r="C48" s="116">
        <v>64856</v>
      </c>
      <c r="D48" s="35">
        <f t="shared" si="5"/>
        <v>64856</v>
      </c>
      <c r="E48" s="89" t="str">
        <f t="shared" si="3"/>
        <v>-</v>
      </c>
      <c r="F48" s="92">
        <f t="shared" si="6"/>
        <v>1</v>
      </c>
    </row>
    <row r="49" spans="1:6" ht="43.5" customHeight="1">
      <c r="A49" s="42" t="s">
        <v>30</v>
      </c>
      <c r="B49" s="51" t="s">
        <v>31</v>
      </c>
      <c r="C49" s="116">
        <v>582</v>
      </c>
      <c r="D49" s="35">
        <f t="shared" si="5"/>
        <v>582</v>
      </c>
      <c r="E49" s="89" t="str">
        <f t="shared" si="3"/>
        <v>-</v>
      </c>
      <c r="F49" s="92">
        <f t="shared" si="6"/>
        <v>1</v>
      </c>
    </row>
    <row r="50" spans="1:6" ht="35.25" customHeight="1">
      <c r="A50" s="42" t="s">
        <v>32</v>
      </c>
      <c r="B50" s="51" t="s">
        <v>33</v>
      </c>
      <c r="C50" s="35">
        <v>2070</v>
      </c>
      <c r="D50" s="35">
        <f t="shared" si="5"/>
        <v>2070</v>
      </c>
      <c r="E50" s="89" t="str">
        <f t="shared" si="3"/>
        <v>-</v>
      </c>
      <c r="F50" s="90">
        <f t="shared" si="6"/>
        <v>1</v>
      </c>
    </row>
    <row r="51" spans="1:6" s="3" customFormat="1" ht="30" customHeight="1">
      <c r="A51" s="44" t="s">
        <v>34</v>
      </c>
      <c r="B51" s="56" t="s">
        <v>175</v>
      </c>
      <c r="C51" s="38">
        <f>SUM(C52:C55)</f>
        <v>81482</v>
      </c>
      <c r="D51" s="38">
        <f>SUM(D52:D55)</f>
        <v>81482</v>
      </c>
      <c r="E51" s="13" t="str">
        <f t="shared" si="3"/>
        <v>-</v>
      </c>
      <c r="F51" s="109">
        <f t="shared" si="6"/>
        <v>1</v>
      </c>
    </row>
    <row r="52" spans="1:6" ht="42" customHeight="1">
      <c r="A52" s="42" t="s">
        <v>119</v>
      </c>
      <c r="B52" s="51" t="s">
        <v>144</v>
      </c>
      <c r="C52" s="35">
        <f>80000+610</f>
        <v>80610</v>
      </c>
      <c r="D52" s="35">
        <f>C52</f>
        <v>80610</v>
      </c>
      <c r="E52" s="94" t="str">
        <f>IF(C52=D52,"-",D52-C52)</f>
        <v>-</v>
      </c>
      <c r="F52" s="90">
        <f t="shared" si="6"/>
        <v>1</v>
      </c>
    </row>
    <row r="53" spans="1:6" ht="31.5" customHeight="1">
      <c r="A53" s="42" t="s">
        <v>35</v>
      </c>
      <c r="B53" s="51" t="s">
        <v>63</v>
      </c>
      <c r="C53" s="35">
        <v>600</v>
      </c>
      <c r="D53" s="35">
        <f>C53</f>
        <v>600</v>
      </c>
      <c r="E53" s="94" t="str">
        <f>IF(C53=D53,"-",D53-C53)</f>
        <v>-</v>
      </c>
      <c r="F53" s="90">
        <f t="shared" si="6"/>
        <v>1</v>
      </c>
    </row>
    <row r="54" spans="1:6" ht="31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90" t="str">
        <f t="shared" si="6"/>
        <v>-</v>
      </c>
    </row>
    <row r="55" spans="1:6" ht="31.5" customHeight="1">
      <c r="A55" s="42" t="s">
        <v>120</v>
      </c>
      <c r="B55" s="51" t="s">
        <v>122</v>
      </c>
      <c r="C55" s="110">
        <v>272</v>
      </c>
      <c r="D55" s="35">
        <f>C55</f>
        <v>272</v>
      </c>
      <c r="E55" s="94" t="str">
        <f>IF(C55=D55,"-",D55-C55)</f>
        <v>-</v>
      </c>
      <c r="F55" s="90">
        <f t="shared" si="6"/>
        <v>1</v>
      </c>
    </row>
    <row r="56" spans="1:6" ht="32.25" customHeight="1">
      <c r="A56" s="44" t="s">
        <v>127</v>
      </c>
      <c r="B56" s="56" t="s">
        <v>155</v>
      </c>
      <c r="C56" s="38">
        <v>38126</v>
      </c>
      <c r="D56" s="38">
        <f>C56</f>
        <v>38126</v>
      </c>
      <c r="E56" s="13" t="str">
        <f>IF(C56=D56,"-",D56-C56)</f>
        <v>-</v>
      </c>
      <c r="F56" s="93">
        <f t="shared" si="6"/>
        <v>1</v>
      </c>
    </row>
  </sheetData>
  <sheetProtection/>
  <mergeCells count="8">
    <mergeCell ref="A1:F1"/>
    <mergeCell ref="E4:E5"/>
    <mergeCell ref="F4:F5"/>
    <mergeCell ref="C4:C5"/>
    <mergeCell ref="A2:C2"/>
    <mergeCell ref="A4:A5"/>
    <mergeCell ref="B4:B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3"/>
  <headerFooter alignWithMargins="0">
    <oddFooter>&amp;R&amp;20&amp;P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G1" sqref="G1:AA16384"/>
      <selection pane="topRight" activeCell="G1" sqref="G1:AA16384"/>
      <selection pane="bottomLeft" activeCell="G1" sqref="G1:AA16384"/>
      <selection pane="bottomRight" activeCell="G1" sqref="G1:AA16384"/>
    </sheetView>
  </sheetViews>
  <sheetFormatPr defaultColWidth="9.00390625" defaultRowHeight="12.75"/>
  <cols>
    <col min="1" max="1" width="9.25390625" style="2" bestFit="1" customWidth="1"/>
    <col min="2" max="2" width="117.25390625" style="2" customWidth="1"/>
    <col min="3" max="3" width="24.25390625" style="2" customWidth="1"/>
    <col min="4" max="4" width="24.25390625" style="2" bestFit="1" customWidth="1"/>
    <col min="5" max="5" width="22.625" style="2" customWidth="1"/>
    <col min="6" max="6" width="20.125" style="2" customWidth="1"/>
    <col min="7" max="27" width="0" style="2" hidden="1" customWidth="1"/>
    <col min="28" max="16384" width="9.125" style="2" customWidth="1"/>
  </cols>
  <sheetData>
    <row r="1" spans="1:6" s="59" customFormat="1" ht="38.25" customHeight="1">
      <c r="A1" s="129" t="str">
        <f>NFZ!A1</f>
        <v>ZMIANA PLANU FINANSOWEGO NARODOWEGO FUNDUSZU ZDROWIA NA 2010 ROK Z 16 GRUDNIA 2009 ROKU</v>
      </c>
      <c r="B1" s="129"/>
      <c r="C1" s="129"/>
      <c r="D1" s="129"/>
      <c r="E1" s="129"/>
      <c r="F1" s="129"/>
    </row>
    <row r="2" spans="1:3" s="61" customFormat="1" ht="33" customHeight="1">
      <c r="A2" s="130" t="s">
        <v>88</v>
      </c>
      <c r="B2" s="130"/>
      <c r="C2" s="130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2" t="s">
        <v>165</v>
      </c>
      <c r="B4" s="131" t="s">
        <v>62</v>
      </c>
      <c r="C4" s="127" t="s">
        <v>202</v>
      </c>
      <c r="D4" s="124" t="s">
        <v>159</v>
      </c>
      <c r="E4" s="126" t="s">
        <v>164</v>
      </c>
      <c r="F4" s="126" t="s">
        <v>163</v>
      </c>
    </row>
    <row r="5" spans="1:6" s="6" customFormat="1" ht="33" customHeight="1">
      <c r="A5" s="131"/>
      <c r="B5" s="131"/>
      <c r="C5" s="128"/>
      <c r="D5" s="125"/>
      <c r="E5" s="126"/>
      <c r="F5" s="126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53649199</v>
      </c>
      <c r="D7" s="16">
        <f>D8+D9+D10+D12+D13+D14+D15+D16+D17+D18+D19+D20+D21+D22+D24+D25+D26+D27</f>
        <v>53649199</v>
      </c>
      <c r="E7" s="13" t="str">
        <f>IF(C7=D7,"-",D7-C7)</f>
        <v>-</v>
      </c>
      <c r="F7" s="91">
        <f>IF(C7=0,"-",D7/C7)</f>
        <v>1</v>
      </c>
    </row>
    <row r="8" spans="1:6" ht="31.5" customHeight="1">
      <c r="A8" s="40" t="s">
        <v>1</v>
      </c>
      <c r="B8" s="102" t="s">
        <v>166</v>
      </c>
      <c r="C8" s="36">
        <f>Dolnośląski!C8+KujawskoPomorski!C8+Lubelski!C8+Lubuski!C8+Łódzki!C8+Małopolski!C8+Mazowiecki!C8+Opolski!C8+Podkarpacki!C8+Podlaski!C8+Pomorski!C8+Śląski!C8+Świętokrzyski!C8+WarmińskoMazurski!C8+Wielkopolski!C8+Zachodniopomorski!C8</f>
        <v>6940383</v>
      </c>
      <c r="D8" s="36">
        <f>Dolnośląski!D8+KujawskoPomorski!D8+Lubelski!D8+Lubuski!D8+Łódzki!D8+Małopolski!D8+Mazowiecki!D8+Opolski!D8+Podkarpacki!D8+Podlaski!D8+Pomorski!D8+Śląski!D8+Świętokrzyski!D8+WarmińskoMazurski!D8+Wielkopolski!D8+Zachodniopomorski!D8</f>
        <v>7230391</v>
      </c>
      <c r="E8" s="89">
        <f aca="true" t="shared" si="0" ref="E8:E46">IF(C8=D8,"-",D8-C8)</f>
        <v>290008</v>
      </c>
      <c r="F8" s="90">
        <f aca="true" t="shared" si="1" ref="F8:F46">IF(C8=0,"-",D8/C8)</f>
        <v>1.0418</v>
      </c>
    </row>
    <row r="9" spans="1:6" ht="31.5" customHeight="1">
      <c r="A9" s="40" t="s">
        <v>2</v>
      </c>
      <c r="B9" s="102" t="s">
        <v>167</v>
      </c>
      <c r="C9" s="36">
        <f>Dolnośląski!C9+KujawskoPomorski!C9+Lubelski!C9+Lubuski!C9+Łódzki!C9+Małopolski!C9+Mazowiecki!C9+Opolski!C9+Podkarpacki!C9+Podlaski!C9+Pomorski!C9+Śląski!C9+Świętokrzyski!C9+WarmińskoMazurski!C9+Wielkopolski!C9+Zachodniopomorski!C9</f>
        <v>4106475</v>
      </c>
      <c r="D9" s="36">
        <f>Dolnośląski!D9+KujawskoPomorski!D9+Lubelski!D9+Lubuski!D9+Łódzki!D9+Małopolski!D9+Mazowiecki!D9+Opolski!D9+Podkarpacki!D9+Podlaski!D9+Pomorski!D9+Śląski!D9+Świętokrzyski!D9+WarmińskoMazurski!D9+Wielkopolski!D9+Zachodniopomorski!D9</f>
        <v>4008201</v>
      </c>
      <c r="E9" s="89">
        <f t="shared" si="0"/>
        <v>-98274</v>
      </c>
      <c r="F9" s="90">
        <f t="shared" si="1"/>
        <v>0.9761</v>
      </c>
    </row>
    <row r="10" spans="1:6" ht="31.5" customHeight="1">
      <c r="A10" s="40" t="s">
        <v>3</v>
      </c>
      <c r="B10" s="102" t="s">
        <v>158</v>
      </c>
      <c r="C10" s="36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23195353</v>
      </c>
      <c r="D10" s="36">
        <f>Dolnośląski!D10+KujawskoPomorski!D10+Lubelski!D10+Lubuski!D10+Łódzki!D10+Małopolski!D10+Mazowiecki!D10+Opolski!D10+Podkarpacki!D10+Podlaski!D10+Pomorski!D10+Śląski!D10+Świętokrzyski!D10+WarmińskoMazurski!D10+Wielkopolski!D10+Zachodniopomorski!D10</f>
        <v>23304299</v>
      </c>
      <c r="E10" s="89">
        <f t="shared" si="0"/>
        <v>108946</v>
      </c>
      <c r="F10" s="90">
        <f t="shared" si="1"/>
        <v>1.0047</v>
      </c>
    </row>
    <row r="11" spans="1:6" ht="31.5" customHeight="1">
      <c r="A11" s="103" t="s">
        <v>64</v>
      </c>
      <c r="B11" s="45" t="s">
        <v>65</v>
      </c>
      <c r="C11" s="36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1291569</v>
      </c>
      <c r="D11" s="36">
        <f>Dolnośląski!D11+KujawskoPomorski!D11+Lubelski!D11+Lubuski!D11+Łódzki!D11+Małopolski!D11+Mazowiecki!D11+Opolski!D11+Podkarpacki!D11+Podlaski!D11+Pomorski!D11+Śląski!D11+Świętokrzyski!D11+WarmińskoMazurski!D11+Wielkopolski!D11+Zachodniopomorski!D11</f>
        <v>1315345</v>
      </c>
      <c r="E11" s="89">
        <f>IF(C11=D11,"-",D11-C11)</f>
        <v>23776</v>
      </c>
      <c r="F11" s="90">
        <f>IF(C11=0,"-",D11/C11)</f>
        <v>1.0184</v>
      </c>
    </row>
    <row r="12" spans="1:6" ht="31.5" customHeight="1">
      <c r="A12" s="40" t="s">
        <v>4</v>
      </c>
      <c r="B12" s="102" t="s">
        <v>173</v>
      </c>
      <c r="C12" s="36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1831883</v>
      </c>
      <c r="D12" s="36">
        <f>Dolnośląski!D12+KujawskoPomorski!D12+Lubelski!D12+Lubuski!D12+Łódzki!D12+Małopolski!D12+Mazowiecki!D12+Opolski!D12+Podkarpacki!D12+Podlaski!D12+Pomorski!D12+Śląski!D12+Świętokrzyski!D12+WarmińskoMazurski!D12+Wielkopolski!D12+Zachodniopomorski!D12</f>
        <v>1732387</v>
      </c>
      <c r="E12" s="89">
        <f t="shared" si="0"/>
        <v>-99496</v>
      </c>
      <c r="F12" s="90">
        <f t="shared" si="1"/>
        <v>0.9457</v>
      </c>
    </row>
    <row r="13" spans="1:6" ht="31.5" customHeight="1">
      <c r="A13" s="40" t="s">
        <v>5</v>
      </c>
      <c r="B13" s="102" t="s">
        <v>168</v>
      </c>
      <c r="C13" s="36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1654809</v>
      </c>
      <c r="D13" s="36">
        <f>Dolnośląski!D13+KujawskoPomorski!D13+Lubelski!D13+Lubuski!D13+Łódzki!D13+Małopolski!D13+Mazowiecki!D13+Opolski!D13+Podkarpacki!D13+Podlaski!D13+Pomorski!D13+Śląski!D13+Świętokrzyski!D13+WarmińskoMazurski!D13+Wielkopolski!D13+Zachodniopomorski!D13</f>
        <v>1582913</v>
      </c>
      <c r="E13" s="89">
        <f t="shared" si="0"/>
        <v>-71896</v>
      </c>
      <c r="F13" s="90">
        <f t="shared" si="1"/>
        <v>0.9566</v>
      </c>
    </row>
    <row r="14" spans="1:6" ht="31.5" customHeight="1">
      <c r="A14" s="40" t="s">
        <v>6</v>
      </c>
      <c r="B14" s="102" t="s">
        <v>177</v>
      </c>
      <c r="C14" s="36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916337</v>
      </c>
      <c r="D14" s="36">
        <f>Dolnośląski!D14+KujawskoPomorski!D14+Lubelski!D14+Lubuski!D14+Łódzki!D14+Małopolski!D14+Mazowiecki!D14+Opolski!D14+Podkarpacki!D14+Podlaski!D14+Pomorski!D14+Śląski!D14+Świętokrzyski!D14+WarmińskoMazurski!D14+Wielkopolski!D14+Zachodniopomorski!D14</f>
        <v>885375</v>
      </c>
      <c r="E14" s="89">
        <f t="shared" si="0"/>
        <v>-30962</v>
      </c>
      <c r="F14" s="90">
        <f t="shared" si="1"/>
        <v>0.9662</v>
      </c>
    </row>
    <row r="15" spans="1:6" ht="31.5" customHeight="1">
      <c r="A15" s="40" t="s">
        <v>7</v>
      </c>
      <c r="B15" s="102" t="s">
        <v>176</v>
      </c>
      <c r="C15" s="36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267924</v>
      </c>
      <c r="D15" s="36">
        <f>Dolnośląski!D15+KujawskoPomorski!D15+Lubelski!D15+Lubuski!D15+Łódzki!D15+Małopolski!D15+Mazowiecki!D15+Opolski!D15+Podkarpacki!D15+Podlaski!D15+Pomorski!D15+Śląski!D15+Świętokrzyski!D15+WarmińskoMazurski!D15+Wielkopolski!D15+Zachodniopomorski!D15</f>
        <v>266323</v>
      </c>
      <c r="E15" s="89">
        <f>IF(C15=D15,"-",D15-C15)</f>
        <v>-1601</v>
      </c>
      <c r="F15" s="90">
        <f>IF(C15=0,"-",D15/C15)</f>
        <v>0.994</v>
      </c>
    </row>
    <row r="16" spans="1:6" ht="31.5" customHeight="1">
      <c r="A16" s="40" t="s">
        <v>8</v>
      </c>
      <c r="B16" s="102" t="s">
        <v>169</v>
      </c>
      <c r="C16" s="36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1819857</v>
      </c>
      <c r="D16" s="36">
        <f>Dolnośląski!D16+KujawskoPomorski!D16+Lubelski!D16+Lubuski!D16+Łódzki!D16+Małopolski!D16+Mazowiecki!D16+Opolski!D16+Podkarpacki!D16+Podlaski!D16+Pomorski!D16+Śląski!D16+Świętokrzyski!D16+WarmińskoMazurski!D16+Wielkopolski!D16+Zachodniopomorski!D16</f>
        <v>1712795</v>
      </c>
      <c r="E16" s="89">
        <f t="shared" si="0"/>
        <v>-107062</v>
      </c>
      <c r="F16" s="90">
        <f t="shared" si="1"/>
        <v>0.9412</v>
      </c>
    </row>
    <row r="17" spans="1:6" ht="31.5" customHeight="1">
      <c r="A17" s="40" t="s">
        <v>9</v>
      </c>
      <c r="B17" s="102" t="s">
        <v>170</v>
      </c>
      <c r="C17" s="36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647120</v>
      </c>
      <c r="D17" s="36">
        <f>Dolnośląski!D17+KujawskoPomorski!D17+Lubelski!D17+Lubuski!D17+Łódzki!D17+Małopolski!D17+Mazowiecki!D17+Opolski!D17+Podkarpacki!D17+Podlaski!D17+Pomorski!D17+Śląski!D17+Świętokrzyski!D17+WarmińskoMazurski!D17+Wielkopolski!D17+Zachodniopomorski!D17</f>
        <v>564146</v>
      </c>
      <c r="E17" s="89">
        <f t="shared" si="0"/>
        <v>-82974</v>
      </c>
      <c r="F17" s="90">
        <f t="shared" si="1"/>
        <v>0.8718</v>
      </c>
    </row>
    <row r="18" spans="1:6" ht="31.5" customHeight="1">
      <c r="A18" s="40" t="s">
        <v>10</v>
      </c>
      <c r="B18" s="102" t="s">
        <v>178</v>
      </c>
      <c r="C18" s="36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40154</v>
      </c>
      <c r="D18" s="36">
        <f>Dolnośląski!D18+KujawskoPomorski!D18+Lubelski!D18+Lubuski!D18+Łódzki!D18+Małopolski!D18+Mazowiecki!D18+Opolski!D18+Podkarpacki!D18+Podlaski!D18+Pomorski!D18+Śląski!D18+Świętokrzyski!D18+WarmińskoMazurski!D18+Wielkopolski!D18+Zachodniopomorski!D18</f>
        <v>37868</v>
      </c>
      <c r="E18" s="89">
        <f t="shared" si="0"/>
        <v>-2286</v>
      </c>
      <c r="F18" s="90">
        <f t="shared" si="1"/>
        <v>0.9431</v>
      </c>
    </row>
    <row r="19" spans="1:6" ht="46.5" customHeight="1">
      <c r="A19" s="40" t="s">
        <v>11</v>
      </c>
      <c r="B19" s="102" t="s">
        <v>171</v>
      </c>
      <c r="C19" s="36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123022</v>
      </c>
      <c r="D19" s="36">
        <f>Dolnośląski!D19+KujawskoPomorski!D19+Lubelski!D19+Lubuski!D19+Łódzki!D19+Małopolski!D19+Mazowiecki!D19+Opolski!D19+Podkarpacki!D19+Podlaski!D19+Pomorski!D19+Śląski!D19+Świętokrzyski!D19+WarmińskoMazurski!D19+Wielkopolski!D19+Zachodniopomorski!D19</f>
        <v>123032</v>
      </c>
      <c r="E19" s="89">
        <f t="shared" si="0"/>
        <v>10</v>
      </c>
      <c r="F19" s="90">
        <f t="shared" si="1"/>
        <v>1.0001</v>
      </c>
    </row>
    <row r="20" spans="1:6" ht="31.5" customHeight="1">
      <c r="A20" s="40" t="s">
        <v>12</v>
      </c>
      <c r="B20" s="102" t="s">
        <v>172</v>
      </c>
      <c r="C20" s="36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1236116</v>
      </c>
      <c r="D20" s="36">
        <f>Dolnośląski!D20+KujawskoPomorski!D20+Lubelski!D20+Lubuski!D20+Łódzki!D20+Małopolski!D20+Mazowiecki!D20+Opolski!D20+Podkarpacki!D20+Podlaski!D20+Pomorski!D20+Śląski!D20+Świętokrzyski!D20+WarmińskoMazurski!D20+Wielkopolski!D20+Zachodniopomorski!D20</f>
        <v>1220449</v>
      </c>
      <c r="E20" s="89">
        <f t="shared" si="0"/>
        <v>-15667</v>
      </c>
      <c r="F20" s="90">
        <f t="shared" si="1"/>
        <v>0.9873</v>
      </c>
    </row>
    <row r="21" spans="1:6" ht="31.5" customHeight="1">
      <c r="A21" s="40" t="s">
        <v>14</v>
      </c>
      <c r="B21" s="46" t="s">
        <v>13</v>
      </c>
      <c r="C21" s="36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574536</v>
      </c>
      <c r="D21" s="36">
        <f>Dolnośląski!D21+KujawskoPomorski!D21+Lubelski!D21+Lubuski!D21+Łódzki!D21+Małopolski!D21+Mazowiecki!D21+Opolski!D21+Podkarpacki!D21+Podlaski!D21+Pomorski!D21+Śląski!D21+Świętokrzyski!D21+WarmińskoMazurski!D21+Wielkopolski!D21+Zachodniopomorski!D21</f>
        <v>569790</v>
      </c>
      <c r="E21" s="89">
        <f t="shared" si="0"/>
        <v>-4746</v>
      </c>
      <c r="F21" s="90">
        <f t="shared" si="1"/>
        <v>0.9917</v>
      </c>
    </row>
    <row r="22" spans="1:6" ht="31.5" customHeight="1">
      <c r="A22" s="41" t="s">
        <v>15</v>
      </c>
      <c r="B22" s="102" t="s">
        <v>174</v>
      </c>
      <c r="C22" s="36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8043651</v>
      </c>
      <c r="D22" s="36">
        <f>Dolnośląski!D22+KujawskoPomorski!D22+Lubelski!D22+Lubuski!D22+Łódzki!D22+Małopolski!D22+Mazowiecki!D22+Opolski!D22+Podkarpacki!D22+Podlaski!D22+Pomorski!D22+Śląski!D22+Świętokrzyski!D22+WarmińskoMazurski!D22+Wielkopolski!D22+Zachodniopomorski!D22</f>
        <v>7695600</v>
      </c>
      <c r="E22" s="89">
        <f t="shared" si="0"/>
        <v>-348051</v>
      </c>
      <c r="F22" s="90">
        <f t="shared" si="1"/>
        <v>0.9567</v>
      </c>
    </row>
    <row r="23" spans="1:6" ht="31.5" customHeight="1">
      <c r="A23" s="39" t="s">
        <v>179</v>
      </c>
      <c r="B23" s="45" t="s">
        <v>66</v>
      </c>
      <c r="C23" s="36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24682</v>
      </c>
      <c r="D23" s="36">
        <f>Dolnośląski!D23+KujawskoPomorski!D23+Lubelski!D23+Lubuski!D23+Łódzki!D23+Małopolski!D23+Mazowiecki!D23+Opolski!D23+Podkarpacki!D23+Podlaski!D23+Pomorski!D23+Śląski!D23+Świętokrzyski!D23+WarmińskoMazurski!D23+Wielkopolski!D23+Zachodniopomorski!D23</f>
        <v>24690</v>
      </c>
      <c r="E23" s="89">
        <f t="shared" si="0"/>
        <v>8</v>
      </c>
      <c r="F23" s="90">
        <f t="shared" si="1"/>
        <v>1.0003</v>
      </c>
    </row>
    <row r="24" spans="1:6" ht="33" customHeight="1">
      <c r="A24" s="42" t="s">
        <v>16</v>
      </c>
      <c r="B24" s="47" t="s">
        <v>140</v>
      </c>
      <c r="C24" s="36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0</v>
      </c>
      <c r="D24" s="36">
        <f>Dolnośląski!D24+KujawskoPomorski!D24+Lubelski!D24+Lubuski!D24+Łódzki!D24+Małopolski!D24+Mazowiecki!D24+Opolski!D24+Podkarpacki!D24+Podlaski!D24+Pomorski!D24+Śląski!D24+Świętokrzyski!D24+WarmińskoMazurski!D24+Wielkopolski!D24+Zachodniopomorski!D24</f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0</v>
      </c>
      <c r="D25" s="36">
        <f>Dolnośląski!D25+KujawskoPomorski!D25+Lubelski!D25+Lubuski!D25+Łódzki!D25+Małopolski!D25+Mazowiecki!D25+Opolski!D25+Podkarpacki!D25+Podlaski!D25+Pomorski!D25+Śląski!D25+Świętokrzyski!D25+WarmińskoMazurski!D25+Wielkopolski!D25+Zachodniopomorski!D25</f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2181108</v>
      </c>
      <c r="D26" s="36">
        <f>Dolnośląski!D26+KujawskoPomorski!D26+Lubelski!D26+Lubuski!D26+Łódzki!D26+Małopolski!D26+Mazowiecki!D26+Opolski!D26+Podkarpacki!D26+Podlaski!D26+Pomorski!D26+Śląski!D26+Świętokrzyski!D26+WarmińskoMazurski!D26+Wielkopolski!D26+Zachodniopomorski!D26</f>
        <v>2659770</v>
      </c>
      <c r="E26" s="89">
        <f>IF(C26=D26,"-",D26-C26)</f>
        <v>478662</v>
      </c>
      <c r="F26" s="90">
        <f>IF(C26=0,"-",D26/C26)</f>
        <v>1.2195</v>
      </c>
    </row>
    <row r="27" spans="1:6" ht="33" customHeight="1">
      <c r="A27" s="42" t="s">
        <v>139</v>
      </c>
      <c r="B27" s="48" t="s">
        <v>142</v>
      </c>
      <c r="C27" s="36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70471</v>
      </c>
      <c r="D27" s="36">
        <f>Dolnośląski!D27+KujawskoPomorski!D27+Lubelski!D27+Lubuski!D27+Łódzki!D27+Małopolski!D27+Mazowiecki!D27+Opolski!D27+Podkarpacki!D27+Podlaski!D27+Pomorski!D27+Śląski!D27+Świętokrzyski!D27+WarmińskoMazurski!D27+Wielkopolski!D27+Zachodniopomorski!D27</f>
        <v>55860</v>
      </c>
      <c r="E27" s="89">
        <f>IF(C27=D27,"-",D27-C27)</f>
        <v>-14611</v>
      </c>
      <c r="F27" s="90">
        <f>IF(C27=0,"-",D27/C27)</f>
        <v>0.7927</v>
      </c>
    </row>
    <row r="28" spans="1:6" s="5" customFormat="1" ht="31.5" customHeight="1">
      <c r="A28" s="43" t="s">
        <v>68</v>
      </c>
      <c r="B28" s="49" t="s">
        <v>69</v>
      </c>
      <c r="C28" s="117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0</v>
      </c>
      <c r="D28" s="117">
        <f>Dolnośląski!D28+KujawskoPomorski!D28+Lubelski!D28+Lubuski!D28+Łódzki!D28+Małopolski!D28+Mazowiecki!D28+Opolski!D28+Podkarpacki!D28+Podlaski!D28+Pomorski!D28+Śląski!D28+Świętokrzyski!D28+WarmińskoMazurski!D28+Wielkopolski!D28+Zachodniopomorski!D28</f>
        <v>0</v>
      </c>
      <c r="E28" s="15" t="str">
        <f t="shared" si="0"/>
        <v>-</v>
      </c>
      <c r="F28" s="120" t="str">
        <f t="shared" si="1"/>
        <v>-</v>
      </c>
    </row>
    <row r="29" spans="1:6" s="5" customFormat="1" ht="31.5" customHeight="1">
      <c r="A29" s="43" t="s">
        <v>67</v>
      </c>
      <c r="B29" s="49" t="s">
        <v>70</v>
      </c>
      <c r="C29" s="117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1730500</v>
      </c>
      <c r="D29" s="117">
        <f>Dolnośląski!D29+KujawskoPomorski!D29+Lubelski!D29+Lubuski!D29+Łódzki!D29+Małopolski!D29+Mazowiecki!D29+Opolski!D29+Podkarpacki!D29+Podlaski!D29+Pomorski!D29+Śląski!D29+Świętokrzyski!D29+WarmińskoMazurski!D29+Wielkopolski!D29+Zachodniopomorski!D29</f>
        <v>1730500</v>
      </c>
      <c r="E29" s="15" t="str">
        <f t="shared" si="0"/>
        <v>-</v>
      </c>
      <c r="F29" s="120">
        <f t="shared" si="1"/>
        <v>1</v>
      </c>
    </row>
    <row r="30" spans="1:6" s="3" customFormat="1" ht="30" customHeight="1">
      <c r="A30" s="37" t="s">
        <v>17</v>
      </c>
      <c r="B30" s="57" t="s">
        <v>18</v>
      </c>
      <c r="C30" s="34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460157</v>
      </c>
      <c r="D30" s="34">
        <f>Dolnośląski!D30+KujawskoPomorski!D30+Lubelski!D30+Lubuski!D30+Łódzki!D30+Małopolski!D30+Mazowiecki!D30+Opolski!D30+Podkarpacki!D30+Podlaski!D30+Pomorski!D30+Śląski!D30+Świętokrzyski!D30+WarmińskoMazurski!D30+Wielkopolski!D30+Zachodniopomorski!D30</f>
        <v>460157</v>
      </c>
      <c r="E30" s="13" t="str">
        <f t="shared" si="0"/>
        <v>-</v>
      </c>
      <c r="F30" s="91">
        <f t="shared" si="1"/>
        <v>1</v>
      </c>
    </row>
    <row r="31" spans="1:6" ht="28.5" customHeight="1">
      <c r="A31" s="42" t="s">
        <v>19</v>
      </c>
      <c r="B31" s="51" t="s">
        <v>20</v>
      </c>
      <c r="C31" s="35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17273</v>
      </c>
      <c r="D31" s="35">
        <f>Dolnośląski!D31+KujawskoPomorski!D31+Lubelski!D31+Lubuski!D31+Łódzki!D31+Małopolski!D31+Mazowiecki!D31+Opolski!D31+Podkarpacki!D31+Podlaski!D31+Pomorski!D31+Śląski!D31+Świętokrzyski!D31+WarmińskoMazurski!D31+Wielkopolski!D31+Zachodniopomorski!D31</f>
        <v>17273</v>
      </c>
      <c r="E31" s="89" t="str">
        <f t="shared" si="0"/>
        <v>-</v>
      </c>
      <c r="F31" s="90">
        <f t="shared" si="1"/>
        <v>1</v>
      </c>
    </row>
    <row r="32" spans="1:6" ht="28.5" customHeight="1">
      <c r="A32" s="42" t="s">
        <v>21</v>
      </c>
      <c r="B32" s="51" t="s">
        <v>22</v>
      </c>
      <c r="C32" s="35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55974</v>
      </c>
      <c r="D32" s="35">
        <f>Dolnośląski!D32+KujawskoPomorski!D32+Lubelski!D32+Lubuski!D32+Łódzki!D32+Małopolski!D32+Mazowiecki!D32+Opolski!D32+Podkarpacki!D32+Podlaski!D32+Pomorski!D32+Śląski!D32+Świętokrzyski!D32+WarmińskoMazurski!D32+Wielkopolski!D32+Zachodniopomorski!D32</f>
        <v>55974</v>
      </c>
      <c r="E32" s="89" t="str">
        <f t="shared" si="0"/>
        <v>-</v>
      </c>
      <c r="F32" s="90">
        <f t="shared" si="1"/>
        <v>1</v>
      </c>
    </row>
    <row r="33" spans="1:6" ht="28.5" customHeight="1">
      <c r="A33" s="42" t="s">
        <v>23</v>
      </c>
      <c r="B33" s="52" t="s">
        <v>37</v>
      </c>
      <c r="C33" s="35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3533</v>
      </c>
      <c r="D33" s="35">
        <f>Dolnośląski!D33+KujawskoPomorski!D33+Lubelski!D33+Lubuski!D33+Łódzki!D33+Małopolski!D33+Mazowiecki!D33+Opolski!D33+Podkarpacki!D33+Podlaski!D33+Pomorski!D33+Śląski!D33+Świętokrzyski!D33+WarmińskoMazurski!D33+Wielkopolski!D33+Zachodniopomorski!D33</f>
        <v>3533</v>
      </c>
      <c r="E33" s="89" t="str">
        <f t="shared" si="0"/>
        <v>-</v>
      </c>
      <c r="F33" s="90">
        <f t="shared" si="1"/>
        <v>1</v>
      </c>
    </row>
    <row r="34" spans="1:6" ht="28.5" customHeight="1">
      <c r="A34" s="53" t="s">
        <v>45</v>
      </c>
      <c r="B34" s="54" t="s">
        <v>38</v>
      </c>
      <c r="C34" s="35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438</v>
      </c>
      <c r="D34" s="35">
        <f>Dolnośląski!D34+KujawskoPomorski!D34+Lubelski!D34+Lubuski!D34+Łódzki!D34+Małopolski!D34+Mazowiecki!D34+Opolski!D34+Podkarpacki!D34+Podlaski!D34+Pomorski!D34+Śląski!D34+Świętokrzyski!D34+WarmińskoMazurski!D34+Wielkopolski!D34+Zachodniopomorski!D34</f>
        <v>438</v>
      </c>
      <c r="E34" s="89" t="str">
        <f t="shared" si="0"/>
        <v>-</v>
      </c>
      <c r="F34" s="90">
        <f t="shared" si="1"/>
        <v>1</v>
      </c>
    </row>
    <row r="35" spans="1:6" ht="28.5" customHeight="1">
      <c r="A35" s="53" t="s">
        <v>46</v>
      </c>
      <c r="B35" s="55" t="s">
        <v>39</v>
      </c>
      <c r="C35" s="35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415</v>
      </c>
      <c r="D35" s="35">
        <f>Dolnośląski!D35+KujawskoPomorski!D35+Lubelski!D35+Lubuski!D35+Łódzki!D35+Małopolski!D35+Mazowiecki!D35+Opolski!D35+Podkarpacki!D35+Podlaski!D35+Pomorski!D35+Śląski!D35+Świętokrzyski!D35+WarmińskoMazurski!D35+Wielkopolski!D35+Zachodniopomorski!D35</f>
        <v>415</v>
      </c>
      <c r="E35" s="89" t="str">
        <f t="shared" si="0"/>
        <v>-</v>
      </c>
      <c r="F35" s="90">
        <f t="shared" si="1"/>
        <v>1</v>
      </c>
    </row>
    <row r="36" spans="1:6" ht="28.5" customHeight="1">
      <c r="A36" s="53" t="s">
        <v>47</v>
      </c>
      <c r="B36" s="54" t="s">
        <v>40</v>
      </c>
      <c r="C36" s="35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89</v>
      </c>
      <c r="D36" s="35">
        <f>Dolnośląski!D36+KujawskoPomorski!D36+Lubelski!D36+Lubuski!D36+Łódzki!D36+Małopolski!D36+Mazowiecki!D36+Opolski!D36+Podkarpacki!D36+Podlaski!D36+Pomorski!D36+Śląski!D36+Świętokrzyski!D36+WarmińskoMazurski!D36+Wielkopolski!D36+Zachodniopomorski!D36</f>
        <v>89</v>
      </c>
      <c r="E36" s="89" t="str">
        <f t="shared" si="0"/>
        <v>-</v>
      </c>
      <c r="F36" s="90">
        <f t="shared" si="1"/>
        <v>1</v>
      </c>
    </row>
    <row r="37" spans="1:6" ht="28.5" customHeight="1">
      <c r="A37" s="53" t="s">
        <v>48</v>
      </c>
      <c r="B37" s="54" t="s">
        <v>41</v>
      </c>
      <c r="C37" s="35">
        <f>Dolnośląski!C37+KujawskoPomorski!C37+Lubelski!C37+Lubuski!C37+Łódzki!C37+Małopolski!C37+Mazowiecki!C37+Opolski!C37+Podkarpacki!C37+Podlaski!C37+Pomorski!C37+Śląski!C37+Świętokrzyski!C37+WarmińskoMazurski!C37+Wielkopolski!C37+Zachodniopomorski!C37</f>
        <v>18</v>
      </c>
      <c r="D37" s="35">
        <f>Dolnośląski!D37+KujawskoPomorski!D37+Lubelski!D37+Lubuski!D37+Łódzki!D37+Małopolski!D37+Mazowiecki!D37+Opolski!D37+Podkarpacki!D37+Podlaski!D37+Pomorski!D37+Śląski!D37+Świętokrzyski!D37+WarmińskoMazurski!D37+Wielkopolski!D37+Zachodniopomorski!D37</f>
        <v>18</v>
      </c>
      <c r="E37" s="89" t="str">
        <f t="shared" si="0"/>
        <v>-</v>
      </c>
      <c r="F37" s="90">
        <f t="shared" si="1"/>
        <v>1</v>
      </c>
    </row>
    <row r="38" spans="1:6" ht="28.5" customHeight="1">
      <c r="A38" s="53" t="s">
        <v>49</v>
      </c>
      <c r="B38" s="54" t="s">
        <v>42</v>
      </c>
      <c r="C38" s="35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0</v>
      </c>
      <c r="D38" s="35">
        <f>Dolnośląski!D38+KujawskoPomorski!D38+Lubelski!D38+Lubuski!D38+Łódzki!D38+Małopolski!D38+Mazowiecki!D38+Opolski!D38+Podkarpacki!D38+Podlaski!D38+Pomorski!D38+Śląski!D38+Świętokrzyski!D38+WarmińskoMazurski!D38+Wielkopolski!D38+Zachodniopomorski!D38</f>
        <v>0</v>
      </c>
      <c r="E38" s="89" t="str">
        <f t="shared" si="0"/>
        <v>-</v>
      </c>
      <c r="F38" s="90" t="str">
        <f t="shared" si="1"/>
        <v>-</v>
      </c>
    </row>
    <row r="39" spans="1:6" ht="28.5" customHeight="1">
      <c r="A39" s="53" t="s">
        <v>50</v>
      </c>
      <c r="B39" s="54" t="s">
        <v>43</v>
      </c>
      <c r="C39" s="35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2783</v>
      </c>
      <c r="D39" s="35">
        <f>Dolnośląski!D39+KujawskoPomorski!D39+Lubelski!D39+Lubuski!D39+Łódzki!D39+Małopolski!D39+Mazowiecki!D39+Opolski!D39+Podkarpacki!D39+Podlaski!D39+Pomorski!D39+Śląski!D39+Świętokrzyski!D39+WarmińskoMazurski!D39+Wielkopolski!D39+Zachodniopomorski!D39</f>
        <v>2783</v>
      </c>
      <c r="E39" s="89" t="str">
        <f t="shared" si="0"/>
        <v>-</v>
      </c>
      <c r="F39" s="90">
        <f t="shared" si="1"/>
        <v>1</v>
      </c>
    </row>
    <row r="40" spans="1:6" ht="28.5" customHeight="1">
      <c r="A40" s="53" t="s">
        <v>51</v>
      </c>
      <c r="B40" s="54" t="s">
        <v>44</v>
      </c>
      <c r="C40" s="35">
        <f>Dolnośląski!C40+KujawskoPomorski!C40+Lubelski!C40+Lubuski!C40+Łódzki!C40+Małopolski!C40+Mazowiecki!C40+Opolski!C40+Podkarpacki!C40+Podlaski!C40+Pomorski!C40+Śląski!C40+Świętokrzyski!C40+WarmińskoMazurski!C40+Wielkopolski!C40+Zachodniopomorski!C40</f>
        <v>205</v>
      </c>
      <c r="D40" s="35">
        <f>Dolnośląski!D40+KujawskoPomorski!D40+Lubelski!D40+Lubuski!D40+Łódzki!D40+Małopolski!D40+Mazowiecki!D40+Opolski!D40+Podkarpacki!D40+Podlaski!D40+Pomorski!D40+Śląski!D40+Świętokrzyski!D40+WarmińskoMazurski!D40+Wielkopolski!D40+Zachodniopomorski!D40</f>
        <v>205</v>
      </c>
      <c r="E40" s="89" t="str">
        <f t="shared" si="0"/>
        <v>-</v>
      </c>
      <c r="F40" s="90">
        <f t="shared" si="1"/>
        <v>1</v>
      </c>
    </row>
    <row r="41" spans="1:6" ht="28.5" customHeight="1">
      <c r="A41" s="42" t="s">
        <v>24</v>
      </c>
      <c r="B41" s="51" t="s">
        <v>25</v>
      </c>
      <c r="C41" s="35">
        <f>Dolnośląski!C41+KujawskoPomorski!C41+Lubelski!C41+Lubuski!C41+Łódzki!C41+Małopolski!C41+Mazowiecki!C41+Opolski!C41+Podkarpacki!C41+Podlaski!C41+Pomorski!C41+Śląski!C41+Świętokrzyski!C41+WarmińskoMazurski!C41+Wielkopolski!C41+Zachodniopomorski!C41</f>
        <v>269491</v>
      </c>
      <c r="D41" s="35">
        <f>Dolnośląski!D41+KujawskoPomorski!D41+Lubelski!D41+Lubuski!D41+Łódzki!D41+Małopolski!D41+Mazowiecki!D41+Opolski!D41+Podkarpacki!D41+Podlaski!D41+Pomorski!D41+Śląski!D41+Świętokrzyski!D41+WarmińskoMazurski!D41+Wielkopolski!D41+Zachodniopomorski!D41</f>
        <v>269491</v>
      </c>
      <c r="E41" s="89" t="str">
        <f t="shared" si="0"/>
        <v>-</v>
      </c>
      <c r="F41" s="90">
        <f t="shared" si="1"/>
        <v>1</v>
      </c>
    </row>
    <row r="42" spans="1:6" ht="28.5" customHeight="1">
      <c r="A42" s="42" t="s">
        <v>26</v>
      </c>
      <c r="B42" s="52" t="s">
        <v>61</v>
      </c>
      <c r="C42" s="35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54366</v>
      </c>
      <c r="D42" s="35">
        <f>Dolnośląski!D42+KujawskoPomorski!D42+Lubelski!D42+Lubuski!D42+Łódzki!D42+Małopolski!D42+Mazowiecki!D42+Opolski!D42+Podkarpacki!D42+Podlaski!D42+Pomorski!D42+Śląski!D42+Świętokrzyski!D42+WarmińskoMazurski!D42+Wielkopolski!D42+Zachodniopomorski!D42</f>
        <v>54366</v>
      </c>
      <c r="E42" s="89" t="str">
        <f t="shared" si="0"/>
        <v>-</v>
      </c>
      <c r="F42" s="90">
        <f t="shared" si="1"/>
        <v>1</v>
      </c>
    </row>
    <row r="43" spans="1:6" ht="28.5" customHeight="1">
      <c r="A43" s="53" t="s">
        <v>56</v>
      </c>
      <c r="B43" s="54" t="s">
        <v>52</v>
      </c>
      <c r="C43" s="35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40740</v>
      </c>
      <c r="D43" s="35">
        <f>Dolnośląski!D43+KujawskoPomorski!D43+Lubelski!D43+Lubuski!D43+Łódzki!D43+Małopolski!D43+Mazowiecki!D43+Opolski!D43+Podkarpacki!D43+Podlaski!D43+Pomorski!D43+Śląski!D43+Świętokrzyski!D43+WarmińskoMazurski!D43+Wielkopolski!D43+Zachodniopomorski!D43</f>
        <v>40740</v>
      </c>
      <c r="E43" s="89" t="str">
        <f t="shared" si="0"/>
        <v>-</v>
      </c>
      <c r="F43" s="90">
        <f t="shared" si="1"/>
        <v>1</v>
      </c>
    </row>
    <row r="44" spans="1:6" ht="28.5" customHeight="1">
      <c r="A44" s="53" t="s">
        <v>57</v>
      </c>
      <c r="B44" s="54" t="s">
        <v>53</v>
      </c>
      <c r="C44" s="35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6603</v>
      </c>
      <c r="D44" s="35">
        <f>Dolnośląski!D44+KujawskoPomorski!D44+Lubelski!D44+Lubuski!D44+Łódzki!D44+Małopolski!D44+Mazowiecki!D44+Opolski!D44+Podkarpacki!D44+Podlaski!D44+Pomorski!D44+Śląski!D44+Świętokrzyski!D44+WarmińskoMazurski!D44+Wielkopolski!D44+Zachodniopomorski!D44</f>
        <v>6603</v>
      </c>
      <c r="E44" s="89" t="str">
        <f t="shared" si="0"/>
        <v>-</v>
      </c>
      <c r="F44" s="90">
        <f t="shared" si="1"/>
        <v>1</v>
      </c>
    </row>
    <row r="45" spans="1:6" ht="28.5" customHeight="1">
      <c r="A45" s="53" t="s">
        <v>58</v>
      </c>
      <c r="B45" s="54" t="s">
        <v>54</v>
      </c>
      <c r="C45" s="35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0</v>
      </c>
      <c r="D45" s="35">
        <f>Dolnośląski!D45+KujawskoPomorski!D45+Lubelski!D45+Lubuski!D45+Łódzki!D45+Małopolski!D45+Mazowiecki!D45+Opolski!D45+Podkarpacki!D45+Podlaski!D45+Pomorski!D45+Śląski!D45+Świętokrzyski!D45+WarmińskoMazurski!D45+Wielkopolski!D45+Zachodniopomorski!D45</f>
        <v>0</v>
      </c>
      <c r="E45" s="89" t="str">
        <f t="shared" si="0"/>
        <v>-</v>
      </c>
      <c r="F45" s="90" t="str">
        <f t="shared" si="1"/>
        <v>-</v>
      </c>
    </row>
    <row r="46" spans="1:6" ht="28.5" customHeight="1">
      <c r="A46" s="53" t="s">
        <v>59</v>
      </c>
      <c r="B46" s="54" t="s">
        <v>55</v>
      </c>
      <c r="C46" s="35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7023</v>
      </c>
      <c r="D46" s="35">
        <f>Dolnośląski!D46+KujawskoPomorski!D46+Lubelski!D46+Lubuski!D46+Łódzki!D46+Małopolski!D46+Mazowiecki!D46+Opolski!D46+Podkarpacki!D46+Podlaski!D46+Pomorski!D46+Śląski!D46+Świętokrzyski!D46+WarmińskoMazurski!D46+Wielkopolski!D46+Zachodniopomorski!D46</f>
        <v>7023</v>
      </c>
      <c r="E46" s="89" t="str">
        <f t="shared" si="0"/>
        <v>-</v>
      </c>
      <c r="F46" s="90">
        <f t="shared" si="1"/>
        <v>1</v>
      </c>
    </row>
    <row r="47" spans="1:6" ht="28.5" customHeight="1">
      <c r="A47" s="42" t="s">
        <v>27</v>
      </c>
      <c r="B47" s="51" t="s">
        <v>28</v>
      </c>
      <c r="C47" s="35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0</v>
      </c>
      <c r="D47" s="35">
        <f>Dolnośląski!D47+KujawskoPomorski!D47+Lubelski!D47+Lubuski!D47+Łódzki!D47+Małopolski!D47+Mazowiecki!D47+Opolski!D47+Podkarpacki!D47+Podlaski!D47+Pomorski!D47+Śląski!D47+Świętokrzyski!D47+WarmińskoMazurski!D47+Wielkopolski!D47+Zachodniopomorski!D47</f>
        <v>0</v>
      </c>
      <c r="E47" s="89" t="str">
        <f aca="true" t="shared" si="2" ref="E47:E55">IF(C47=D47,"-",D47-C47)</f>
        <v>-</v>
      </c>
      <c r="F47" s="90" t="str">
        <f aca="true" t="shared" si="3" ref="F47:F55">IF(C47=0,"-",D47/C47)</f>
        <v>-</v>
      </c>
    </row>
    <row r="48" spans="1:6" ht="48" customHeight="1">
      <c r="A48" s="42" t="s">
        <v>29</v>
      </c>
      <c r="B48" s="51" t="s">
        <v>116</v>
      </c>
      <c r="C48" s="36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52181</v>
      </c>
      <c r="D48" s="36">
        <f>Dolnośląski!D48+KujawskoPomorski!D48+Lubelski!D48+Lubuski!D48+Łódzki!D48+Małopolski!D48+Mazowiecki!D48+Opolski!D48+Podkarpacki!D48+Podlaski!D48+Pomorski!D48+Śląski!D48+Świętokrzyski!D48+WarmińskoMazurski!D48+Wielkopolski!D48+Zachodniopomorski!D48</f>
        <v>52181</v>
      </c>
      <c r="E48" s="89" t="str">
        <f t="shared" si="2"/>
        <v>-</v>
      </c>
      <c r="F48" s="92">
        <f t="shared" si="3"/>
        <v>1</v>
      </c>
    </row>
    <row r="49" spans="1:6" ht="43.5" customHeight="1">
      <c r="A49" s="42" t="s">
        <v>30</v>
      </c>
      <c r="B49" s="51" t="s">
        <v>31</v>
      </c>
      <c r="C49" s="36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3171</v>
      </c>
      <c r="D49" s="36">
        <f>Dolnośląski!D49+KujawskoPomorski!D49+Lubelski!D49+Lubuski!D49+Łódzki!D49+Małopolski!D49+Mazowiecki!D49+Opolski!D49+Podkarpacki!D49+Podlaski!D49+Pomorski!D49+Śląski!D49+Świętokrzyski!D49+WarmińskoMazurski!D49+Wielkopolski!D49+Zachodniopomorski!D49</f>
        <v>3171</v>
      </c>
      <c r="E49" s="89" t="str">
        <f t="shared" si="2"/>
        <v>-</v>
      </c>
      <c r="F49" s="92">
        <f t="shared" si="3"/>
        <v>1</v>
      </c>
    </row>
    <row r="50" spans="1:6" ht="35.25" customHeight="1">
      <c r="A50" s="42" t="s">
        <v>32</v>
      </c>
      <c r="B50" s="51" t="s">
        <v>33</v>
      </c>
      <c r="C50" s="35">
        <f>Dolnośląski!C50+KujawskoPomorski!C50+Lubelski!C50+Lubuski!C50+Łódzki!C50+Małopolski!C50+Mazowiecki!C50+Opolski!C50+Podkarpacki!C50+Podlaski!C50+Pomorski!C50+Śląski!C50+Świętokrzyski!C50+WarmińskoMazurski!C50+Wielkopolski!C50+Zachodniopomorski!C50</f>
        <v>4168</v>
      </c>
      <c r="D50" s="35">
        <f>Dolnośląski!D50+KujawskoPomorski!D50+Lubelski!D50+Lubuski!D50+Łódzki!D50+Małopolski!D50+Mazowiecki!D50+Opolski!D50+Podkarpacki!D50+Podlaski!D50+Pomorski!D50+Śląski!D50+Świętokrzyski!D50+WarmińskoMazurski!D50+Wielkopolski!D50+Zachodniopomorski!D50</f>
        <v>4168</v>
      </c>
      <c r="E50" s="89" t="str">
        <f t="shared" si="2"/>
        <v>-</v>
      </c>
      <c r="F50" s="90">
        <f t="shared" si="3"/>
        <v>1</v>
      </c>
    </row>
    <row r="51" spans="1:6" s="3" customFormat="1" ht="30" customHeight="1">
      <c r="A51" s="44" t="s">
        <v>34</v>
      </c>
      <c r="B51" s="56" t="s">
        <v>175</v>
      </c>
      <c r="C51" s="38">
        <f>Dolnośląski!C51+KujawskoPomorski!C51+Lubelski!C51+Lubuski!C51+Łódzki!C51+Małopolski!C51+Mazowiecki!C51+Opolski!C51+Podkarpacki!C51+Podlaski!C51+Pomorski!C51+Śląski!C51+Świętokrzyski!C51+WarmińskoMazurski!C51+Wielkopolski!C51+Zachodniopomorski!C51</f>
        <v>226262</v>
      </c>
      <c r="D51" s="38">
        <f>Dolnośląski!D51+KujawskoPomorski!D51+Lubelski!D51+Lubuski!D51+Łódzki!D51+Małopolski!D51+Mazowiecki!D51+Opolski!D51+Podkarpacki!D51+Podlaski!D51+Pomorski!D51+Śląski!D51+Świętokrzyski!D51+WarmińskoMazurski!D51+Wielkopolski!D51+Zachodniopomorski!D51</f>
        <v>226262</v>
      </c>
      <c r="E51" s="13" t="str">
        <f t="shared" si="2"/>
        <v>-</v>
      </c>
      <c r="F51" s="93">
        <f t="shared" si="3"/>
        <v>1</v>
      </c>
    </row>
    <row r="52" spans="1:6" ht="42" customHeight="1">
      <c r="A52" s="42" t="s">
        <v>119</v>
      </c>
      <c r="B52" s="51" t="s">
        <v>144</v>
      </c>
      <c r="C52" s="35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12059</v>
      </c>
      <c r="D52" s="35">
        <f>Dolnośląski!D52+KujawskoPomorski!D52+Lubelski!D52+Lubuski!D52+Łódzki!D52+Małopolski!D52+Mazowiecki!D52+Opolski!D52+Podkarpacki!D52+Podlaski!D52+Pomorski!D52+Śląski!D52+Świętokrzyski!D52+WarmińskoMazurski!D52+Wielkopolski!D52+Zachodniopomorski!D52</f>
        <v>12059</v>
      </c>
      <c r="E52" s="89" t="str">
        <f t="shared" si="2"/>
        <v>-</v>
      </c>
      <c r="F52" s="90">
        <f t="shared" si="3"/>
        <v>1</v>
      </c>
    </row>
    <row r="53" spans="1:6" ht="31.5" customHeight="1">
      <c r="A53" s="42" t="s">
        <v>35</v>
      </c>
      <c r="B53" s="51" t="s">
        <v>63</v>
      </c>
      <c r="C53" s="35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199619</v>
      </c>
      <c r="D53" s="35">
        <f>Dolnośląski!D53+KujawskoPomorski!D53+Lubelski!D53+Lubuski!D53+Łódzki!D53+Małopolski!D53+Mazowiecki!D53+Opolski!D53+Podkarpacki!D53+Podlaski!D53+Pomorski!D53+Śląski!D53+Świętokrzyski!D53+WarmińskoMazurski!D53+Wielkopolski!D53+Zachodniopomorski!D53</f>
        <v>199619</v>
      </c>
      <c r="E53" s="89" t="str">
        <f t="shared" si="2"/>
        <v>-</v>
      </c>
      <c r="F53" s="90">
        <f t="shared" si="3"/>
        <v>1</v>
      </c>
    </row>
    <row r="54" spans="1:6" ht="31.5" customHeight="1">
      <c r="A54" s="42" t="s">
        <v>36</v>
      </c>
      <c r="B54" s="51" t="s">
        <v>121</v>
      </c>
      <c r="C54" s="35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0</v>
      </c>
      <c r="D54" s="35">
        <f>Dolnośląski!D54+KujawskoPomorski!D54+Lubelski!D54+Lubuski!D54+Łódzki!D54+Małopolski!D54+Mazowiecki!D54+Opolski!D54+Podkarpacki!D54+Podlaski!D54+Pomorski!D54+Śląski!D54+Świętokrzyski!D54+WarmińskoMazurski!D54+Wielkopolski!D54+Zachodniopomorski!D54</f>
        <v>0</v>
      </c>
      <c r="E54" s="89" t="str">
        <f t="shared" si="2"/>
        <v>-</v>
      </c>
      <c r="F54" s="90" t="str">
        <f t="shared" si="3"/>
        <v>-</v>
      </c>
    </row>
    <row r="55" spans="1:6" ht="31.5" customHeight="1">
      <c r="A55" s="42" t="s">
        <v>120</v>
      </c>
      <c r="B55" s="51" t="s">
        <v>122</v>
      </c>
      <c r="C55" s="35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14584</v>
      </c>
      <c r="D55" s="35">
        <f>Dolnośląski!D55+KujawskoPomorski!D55+Lubelski!D55+Lubuski!D55+Łódzki!D55+Małopolski!D55+Mazowiecki!D55+Opolski!D55+Podkarpacki!D55+Podlaski!D55+Pomorski!D55+Śląski!D55+Świętokrzyski!D55+WarmińskoMazurski!D55+Wielkopolski!D55+Zachodniopomorski!D55</f>
        <v>14584</v>
      </c>
      <c r="E55" s="89" t="str">
        <f t="shared" si="2"/>
        <v>-</v>
      </c>
      <c r="F55" s="90">
        <f t="shared" si="3"/>
        <v>1</v>
      </c>
    </row>
    <row r="56" spans="1:6" ht="32.25" customHeight="1">
      <c r="A56" s="44" t="s">
        <v>127</v>
      </c>
      <c r="B56" s="56" t="s">
        <v>155</v>
      </c>
      <c r="C56" s="38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38225</v>
      </c>
      <c r="D56" s="38">
        <f>Dolnośląski!D56+KujawskoPomorski!D56+Lubelski!D56+Lubuski!D56+Łódzki!D56+Małopolski!D56+Mazowiecki!D56+Opolski!D56+Podkarpacki!D56+Podlaski!D56+Pomorski!D56+Śląski!D56+Świętokrzyski!D56+WarmińskoMazurski!D56+Wielkopolski!D56+Zachodniopomorski!D56</f>
        <v>38225</v>
      </c>
      <c r="E56" s="13" t="str">
        <f>IF(C56=D56,"-",D56-C56)</f>
        <v>-</v>
      </c>
      <c r="F56" s="93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1:F1"/>
    <mergeCell ref="D4:D5"/>
    <mergeCell ref="E4:E5"/>
    <mergeCell ref="F4:F5"/>
    <mergeCell ref="A2:C2"/>
    <mergeCell ref="A4:A5"/>
    <mergeCell ref="B4:B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zoomScale="55" zoomScaleNormal="55" zoomScaleSheetLayoutView="55" zoomScalePageLayoutView="0" workbookViewId="0" topLeftCell="A1">
      <pane ySplit="7" topLeftCell="BM8" activePane="bottomLeft" state="frozen"/>
      <selection pane="topLeft" activeCell="G1" sqref="G1:AA16384"/>
      <selection pane="bottomLeft" activeCell="G1" sqref="G1:AA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7" width="0" style="2" hidden="1" customWidth="1"/>
    <col min="8" max="8" width="21.75390625" style="2" hidden="1" customWidth="1"/>
    <col min="9" max="9" width="14.625" style="2" hidden="1" customWidth="1"/>
    <col min="10" max="27" width="0" style="2" hidden="1" customWidth="1"/>
    <col min="28" max="16384" width="9.125" style="2" customWidth="1"/>
  </cols>
  <sheetData>
    <row r="1" spans="1:6" s="59" customFormat="1" ht="38.25" customHeight="1">
      <c r="A1" s="129" t="str">
        <f>NFZ!A1</f>
        <v>ZMIANA PLANU FINANSOWEGO NARODOWEGO FUNDUSZU ZDROWIA NA 2010 ROK Z 16 GRUDNIA 2009 ROKU</v>
      </c>
      <c r="B1" s="129"/>
      <c r="C1" s="129"/>
      <c r="D1" s="129"/>
      <c r="E1" s="129"/>
      <c r="F1" s="129"/>
    </row>
    <row r="2" spans="1:3" s="61" customFormat="1" ht="33" customHeight="1">
      <c r="A2" s="130" t="s">
        <v>71</v>
      </c>
      <c r="B2" s="130"/>
      <c r="C2" s="130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2" t="s">
        <v>165</v>
      </c>
      <c r="B4" s="131" t="s">
        <v>62</v>
      </c>
      <c r="C4" s="127" t="s">
        <v>202</v>
      </c>
      <c r="D4" s="124" t="s">
        <v>159</v>
      </c>
      <c r="E4" s="126" t="s">
        <v>164</v>
      </c>
      <c r="F4" s="126" t="s">
        <v>163</v>
      </c>
    </row>
    <row r="5" spans="1:6" s="6" customFormat="1" ht="33" customHeight="1">
      <c r="A5" s="131"/>
      <c r="B5" s="131"/>
      <c r="C5" s="128"/>
      <c r="D5" s="125"/>
      <c r="E5" s="126"/>
      <c r="F5" s="126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9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4131168</v>
      </c>
      <c r="D7" s="16">
        <f>D8+D9+D10+D12+D13+D14+D15+D16+D17+D18+D19+D20+D21+D22+D24+D25+D26+D27</f>
        <v>4111597</v>
      </c>
      <c r="E7" s="13">
        <f>IF(C7=D7,"-",D7-C7)</f>
        <v>-19571</v>
      </c>
      <c r="F7" s="88">
        <f>IF(C7=0,"-",D7/C7)</f>
        <v>0.995</v>
      </c>
      <c r="H7" s="16">
        <f>H8+H9+H10+H12+H13+H14+H15+H16+H17+H18+H19+H20+H21+H22+H24+H25+H26+H27</f>
        <v>4111597</v>
      </c>
      <c r="I7" s="16">
        <f>D7-H7</f>
        <v>0</v>
      </c>
    </row>
    <row r="8" spans="1:8" ht="31.5" customHeight="1">
      <c r="A8" s="40" t="s">
        <v>1</v>
      </c>
      <c r="B8" s="102" t="s">
        <v>166</v>
      </c>
      <c r="C8" s="111">
        <v>543244</v>
      </c>
      <c r="D8" s="36">
        <f>H8</f>
        <v>541244</v>
      </c>
      <c r="E8" s="89">
        <f aca="true" t="shared" si="0" ref="E8:E29">IF(C8=D8,"-",D8-C8)</f>
        <v>-2000</v>
      </c>
      <c r="F8" s="90">
        <f aca="true" t="shared" si="1" ref="F8:F46">IF(C8=0,"-",D8/C8)</f>
        <v>0.9963</v>
      </c>
      <c r="H8" s="36">
        <v>541244</v>
      </c>
    </row>
    <row r="9" spans="1:8" ht="31.5" customHeight="1">
      <c r="A9" s="40" t="s">
        <v>2</v>
      </c>
      <c r="B9" s="102" t="s">
        <v>167</v>
      </c>
      <c r="C9" s="111">
        <v>323187</v>
      </c>
      <c r="D9" s="36">
        <f>ROUND(H9-('[6]REZERWA NA MIGRACJĘ'!$C$8-'[7]REZERWA NA MIGRACJĘ'!$C$8),0)</f>
        <v>318658</v>
      </c>
      <c r="E9" s="89">
        <f t="shared" si="0"/>
        <v>-4529</v>
      </c>
      <c r="F9" s="90">
        <f t="shared" si="1"/>
        <v>0.986</v>
      </c>
      <c r="H9" s="36">
        <v>318901</v>
      </c>
    </row>
    <row r="10" spans="1:8" ht="31.5" customHeight="1">
      <c r="A10" s="40" t="s">
        <v>3</v>
      </c>
      <c r="B10" s="102" t="s">
        <v>158</v>
      </c>
      <c r="C10" s="111">
        <v>1765720</v>
      </c>
      <c r="D10" s="36">
        <f>ROUND(H10-('[6]REZERWA NA MIGRACJĘ'!$D$8-'[7]REZERWA NA MIGRACJĘ'!$D$8),0)+56752</f>
        <v>1788154</v>
      </c>
      <c r="E10" s="89">
        <f t="shared" si="0"/>
        <v>22434</v>
      </c>
      <c r="F10" s="90">
        <f t="shared" si="1"/>
        <v>1.0127</v>
      </c>
      <c r="H10" s="36">
        <v>1735206</v>
      </c>
    </row>
    <row r="11" spans="1:8" ht="31.5" customHeight="1">
      <c r="A11" s="103" t="s">
        <v>64</v>
      </c>
      <c r="B11" s="45" t="s">
        <v>65</v>
      </c>
      <c r="C11" s="111">
        <v>94500</v>
      </c>
      <c r="D11" s="36">
        <f>ROUND(H11-('[6]REZERWA NA MIGRACJĘ'!$E$8-'[7]REZERWA NA MIGRACJĘ'!$E$8),0)</f>
        <v>105535</v>
      </c>
      <c r="E11" s="89">
        <f t="shared" si="0"/>
        <v>11035</v>
      </c>
      <c r="F11" s="90">
        <f t="shared" si="1"/>
        <v>1.1168</v>
      </c>
      <c r="H11" s="36">
        <v>105231</v>
      </c>
    </row>
    <row r="12" spans="1:8" ht="31.5" customHeight="1">
      <c r="A12" s="40" t="s">
        <v>4</v>
      </c>
      <c r="B12" s="102" t="s">
        <v>173</v>
      </c>
      <c r="C12" s="111">
        <v>140628</v>
      </c>
      <c r="D12" s="36">
        <f>ROUND(H12-('[6]REZERWA NA MIGRACJĘ'!$F$8-'[7]REZERWA NA MIGRACJĘ'!$F$8),0)</f>
        <v>136102</v>
      </c>
      <c r="E12" s="89">
        <f t="shared" si="0"/>
        <v>-4526</v>
      </c>
      <c r="F12" s="90">
        <f t="shared" si="1"/>
        <v>0.9678</v>
      </c>
      <c r="H12" s="36">
        <v>136123</v>
      </c>
    </row>
    <row r="13" spans="1:8" ht="31.5" customHeight="1">
      <c r="A13" s="40" t="s">
        <v>5</v>
      </c>
      <c r="B13" s="102" t="s">
        <v>168</v>
      </c>
      <c r="C13" s="111">
        <v>126007</v>
      </c>
      <c r="D13" s="36">
        <f>ROUND(H13-('[6]REZERWA NA MIGRACJĘ'!$G$8-'[7]REZERWA NA MIGRACJĘ'!$G$8),0)</f>
        <v>123245</v>
      </c>
      <c r="E13" s="89">
        <f t="shared" si="0"/>
        <v>-2762</v>
      </c>
      <c r="F13" s="90">
        <f t="shared" si="1"/>
        <v>0.9781</v>
      </c>
      <c r="H13" s="36">
        <v>123701</v>
      </c>
    </row>
    <row r="14" spans="1:8" ht="31.5" customHeight="1">
      <c r="A14" s="40" t="s">
        <v>6</v>
      </c>
      <c r="B14" s="102" t="s">
        <v>177</v>
      </c>
      <c r="C14" s="111">
        <v>79335</v>
      </c>
      <c r="D14" s="36">
        <f>ROUND(H14-('[6]REZERWA NA MIGRACJĘ'!$H$8-'[7]REZERWA NA MIGRACJĘ'!$H$8),0)</f>
        <v>78168</v>
      </c>
      <c r="E14" s="89">
        <f t="shared" si="0"/>
        <v>-1167</v>
      </c>
      <c r="F14" s="90">
        <f t="shared" si="1"/>
        <v>0.9853</v>
      </c>
      <c r="H14" s="36">
        <v>78452</v>
      </c>
    </row>
    <row r="15" spans="1:8" ht="31.5" customHeight="1">
      <c r="A15" s="40" t="s">
        <v>7</v>
      </c>
      <c r="B15" s="102" t="s">
        <v>176</v>
      </c>
      <c r="C15" s="111">
        <v>16202</v>
      </c>
      <c r="D15" s="36">
        <f>ROUND(H15-('[6]REZERWA NA MIGRACJĘ'!$I$8-'[7]REZERWA NA MIGRACJĘ'!$I$8),0)</f>
        <v>16170</v>
      </c>
      <c r="E15" s="89">
        <f>IF(C15=D15,"-",D15-C15)</f>
        <v>-32</v>
      </c>
      <c r="F15" s="90">
        <f>IF(C15=0,"-",D15/C15)</f>
        <v>0.998</v>
      </c>
      <c r="H15" s="36">
        <v>16175</v>
      </c>
    </row>
    <row r="16" spans="1:8" ht="31.5" customHeight="1">
      <c r="A16" s="40" t="s">
        <v>8</v>
      </c>
      <c r="B16" s="102" t="s">
        <v>169</v>
      </c>
      <c r="C16" s="111">
        <v>119571</v>
      </c>
      <c r="D16" s="36">
        <f>ROUND(H16-('[6]REZERWA NA MIGRACJĘ'!$J8-'[7]REZERWA NA MIGRACJĘ'!$J$8),0)</f>
        <v>118857</v>
      </c>
      <c r="E16" s="89">
        <f t="shared" si="0"/>
        <v>-714</v>
      </c>
      <c r="F16" s="90">
        <f t="shared" si="1"/>
        <v>0.994</v>
      </c>
      <c r="H16" s="36">
        <v>118925</v>
      </c>
    </row>
    <row r="17" spans="1:8" ht="31.5" customHeight="1">
      <c r="A17" s="40" t="s">
        <v>9</v>
      </c>
      <c r="B17" s="102" t="s">
        <v>170</v>
      </c>
      <c r="C17" s="111">
        <v>50000</v>
      </c>
      <c r="D17" s="36">
        <f>ROUND(H17,0)</f>
        <v>52000</v>
      </c>
      <c r="E17" s="89">
        <f t="shared" si="0"/>
        <v>2000</v>
      </c>
      <c r="F17" s="90">
        <f t="shared" si="1"/>
        <v>1.04</v>
      </c>
      <c r="H17" s="36">
        <v>52000</v>
      </c>
    </row>
    <row r="18" spans="1:8" ht="31.5" customHeight="1">
      <c r="A18" s="40" t="s">
        <v>10</v>
      </c>
      <c r="B18" s="102" t="s">
        <v>178</v>
      </c>
      <c r="C18" s="111">
        <v>4700</v>
      </c>
      <c r="D18" s="36">
        <f>ROUND(H18,0)</f>
        <v>3700</v>
      </c>
      <c r="E18" s="89">
        <f t="shared" si="0"/>
        <v>-1000</v>
      </c>
      <c r="F18" s="90">
        <f t="shared" si="1"/>
        <v>0.7872</v>
      </c>
      <c r="H18" s="36">
        <v>3700</v>
      </c>
    </row>
    <row r="19" spans="1:8" ht="46.5" customHeight="1">
      <c r="A19" s="40" t="s">
        <v>11</v>
      </c>
      <c r="B19" s="102" t="s">
        <v>171</v>
      </c>
      <c r="C19" s="111">
        <v>13179</v>
      </c>
      <c r="D19" s="36">
        <f>ROUND(H19-('[6]REZERWA NA MIGRACJĘ'!$K$8-'[7]REZERWA NA MIGRACJĘ'!$K$8),0)</f>
        <v>13225</v>
      </c>
      <c r="E19" s="89">
        <f t="shared" si="0"/>
        <v>46</v>
      </c>
      <c r="F19" s="90">
        <f t="shared" si="1"/>
        <v>1.0035</v>
      </c>
      <c r="H19" s="36">
        <v>13235</v>
      </c>
    </row>
    <row r="20" spans="1:8" ht="31.5" customHeight="1">
      <c r="A20" s="40" t="s">
        <v>12</v>
      </c>
      <c r="B20" s="102" t="s">
        <v>172</v>
      </c>
      <c r="C20" s="111">
        <v>100365</v>
      </c>
      <c r="D20" s="36">
        <f>ROUND(H20-('[6]REZERWA NA MIGRACJĘ'!$L$8-'[7]REZERWA NA MIGRACJĘ'!$L$8),0)</f>
        <v>99170</v>
      </c>
      <c r="E20" s="89">
        <f t="shared" si="0"/>
        <v>-1195</v>
      </c>
      <c r="F20" s="90">
        <f t="shared" si="1"/>
        <v>0.9881</v>
      </c>
      <c r="H20" s="36">
        <v>99800</v>
      </c>
    </row>
    <row r="21" spans="1:8" ht="31.5" customHeight="1">
      <c r="A21" s="40" t="s">
        <v>14</v>
      </c>
      <c r="B21" s="46" t="s">
        <v>13</v>
      </c>
      <c r="C21" s="111">
        <v>45250</v>
      </c>
      <c r="D21" s="36">
        <f>H21</f>
        <v>45250</v>
      </c>
      <c r="E21" s="89" t="str">
        <f t="shared" si="0"/>
        <v>-</v>
      </c>
      <c r="F21" s="90">
        <f t="shared" si="1"/>
        <v>1</v>
      </c>
      <c r="H21" s="36">
        <v>45250</v>
      </c>
    </row>
    <row r="22" spans="1:8" ht="31.5" customHeight="1">
      <c r="A22" s="41" t="s">
        <v>15</v>
      </c>
      <c r="B22" s="102" t="s">
        <v>174</v>
      </c>
      <c r="C22" s="111">
        <v>646142</v>
      </c>
      <c r="D22" s="36">
        <f>H22-56752</f>
        <v>589390</v>
      </c>
      <c r="E22" s="89">
        <f t="shared" si="0"/>
        <v>-56752</v>
      </c>
      <c r="F22" s="90">
        <f t="shared" si="1"/>
        <v>0.9122</v>
      </c>
      <c r="H22" s="36">
        <v>646142</v>
      </c>
    </row>
    <row r="23" spans="1:8" ht="31.5" customHeight="1">
      <c r="A23" s="39" t="s">
        <v>179</v>
      </c>
      <c r="B23" s="45" t="s">
        <v>66</v>
      </c>
      <c r="C23" s="111">
        <v>2901</v>
      </c>
      <c r="D23" s="36">
        <f>H23</f>
        <v>2901</v>
      </c>
      <c r="E23" s="89" t="str">
        <f t="shared" si="0"/>
        <v>-</v>
      </c>
      <c r="F23" s="90">
        <f t="shared" si="1"/>
        <v>1</v>
      </c>
      <c r="H23" s="36">
        <v>2901</v>
      </c>
    </row>
    <row r="24" spans="1:8" ht="33" customHeight="1">
      <c r="A24" s="42" t="s">
        <v>16</v>
      </c>
      <c r="B24" s="47" t="s">
        <v>140</v>
      </c>
      <c r="C24" s="111">
        <v>0</v>
      </c>
      <c r="D24" s="36">
        <f>H24</f>
        <v>0</v>
      </c>
      <c r="E24" s="89" t="str">
        <f>IF(C24=D24,"-",D24-C24)</f>
        <v>-</v>
      </c>
      <c r="F24" s="90" t="str">
        <f>IF(C24=0,"-",D24/C24)</f>
        <v>-</v>
      </c>
      <c r="H24" s="36">
        <v>0</v>
      </c>
    </row>
    <row r="25" spans="1:8" ht="33" customHeight="1">
      <c r="A25" s="42" t="s">
        <v>137</v>
      </c>
      <c r="B25" s="48" t="s">
        <v>60</v>
      </c>
      <c r="C25" s="111">
        <v>0</v>
      </c>
      <c r="D25" s="36">
        <f>H25</f>
        <v>0</v>
      </c>
      <c r="E25" s="89" t="str">
        <f>IF(C25=D25,"-",D25-C25)</f>
        <v>-</v>
      </c>
      <c r="F25" s="90" t="str">
        <f>IF(C25=0,"-",D25/C25)</f>
        <v>-</v>
      </c>
      <c r="H25" s="36">
        <v>0</v>
      </c>
    </row>
    <row r="26" spans="1:8" ht="33" customHeight="1">
      <c r="A26" s="42" t="s">
        <v>138</v>
      </c>
      <c r="B26" s="48" t="s">
        <v>141</v>
      </c>
      <c r="C26" s="111">
        <v>147688</v>
      </c>
      <c r="D26" s="36">
        <f>ROUND('[6]REZERWA NA MIGRACJĘ'!$B$8,0)</f>
        <v>178449</v>
      </c>
      <c r="E26" s="89">
        <f>IF(C26=D26,"-",D26-C26)</f>
        <v>30761</v>
      </c>
      <c r="F26" s="90">
        <f>IF(C26=0,"-",D26/C26)</f>
        <v>1.2083</v>
      </c>
      <c r="H26" s="36">
        <v>172833</v>
      </c>
    </row>
    <row r="27" spans="1:8" ht="33" customHeight="1">
      <c r="A27" s="42" t="s">
        <v>139</v>
      </c>
      <c r="B27" s="48" t="s">
        <v>142</v>
      </c>
      <c r="C27" s="111">
        <v>9950</v>
      </c>
      <c r="D27" s="36">
        <f>ROUND(H27-('[6]REZERWA NA MIGRACJĘ'!$M$8-'[7]REZERWA NA MIGRACJĘ'!$M$8),0)</f>
        <v>9815</v>
      </c>
      <c r="E27" s="89">
        <f>IF(C27=D27,"-",D27-C27)</f>
        <v>-135</v>
      </c>
      <c r="F27" s="90">
        <f>IF(C27=0,"-",D27/C27)</f>
        <v>0.9864</v>
      </c>
      <c r="H27" s="36">
        <v>9910</v>
      </c>
    </row>
    <row r="28" spans="1:6" s="5" customFormat="1" ht="31.5" customHeight="1">
      <c r="A28" s="43" t="s">
        <v>68</v>
      </c>
      <c r="B28" s="49" t="s">
        <v>69</v>
      </c>
      <c r="C28" s="112">
        <v>0</v>
      </c>
      <c r="D28" s="119">
        <f>C28</f>
        <v>0</v>
      </c>
      <c r="E28" s="15" t="str">
        <f t="shared" si="0"/>
        <v>-</v>
      </c>
      <c r="F28" s="120" t="str">
        <f t="shared" si="1"/>
        <v>-</v>
      </c>
    </row>
    <row r="29" spans="1:6" s="5" customFormat="1" ht="31.5" customHeight="1">
      <c r="A29" s="43" t="s">
        <v>67</v>
      </c>
      <c r="B29" s="49" t="s">
        <v>70</v>
      </c>
      <c r="C29" s="112">
        <v>131172</v>
      </c>
      <c r="D29" s="119">
        <f>C29</f>
        <v>131172</v>
      </c>
      <c r="E29" s="15" t="str">
        <f t="shared" si="0"/>
        <v>-</v>
      </c>
      <c r="F29" s="120">
        <f t="shared" si="1"/>
        <v>1</v>
      </c>
    </row>
    <row r="30" spans="1:6" s="3" customFormat="1" ht="30" customHeight="1">
      <c r="A30" s="37" t="s">
        <v>17</v>
      </c>
      <c r="B30" s="57" t="s">
        <v>18</v>
      </c>
      <c r="C30" s="38">
        <f>C31+C32+C33+C41+C42+C48+C49+C50+C47</f>
        <v>32652</v>
      </c>
      <c r="D30" s="34">
        <f>D31+D32+D33+D41+D42+D48+D49+D50+D47</f>
        <v>32652</v>
      </c>
      <c r="E30" s="13" t="str">
        <f>IF(C30=D30,"-",D30-C30)</f>
        <v>-</v>
      </c>
      <c r="F30" s="91">
        <f t="shared" si="1"/>
        <v>1</v>
      </c>
    </row>
    <row r="31" spans="1:6" ht="28.5" customHeight="1">
      <c r="A31" s="42" t="s">
        <v>19</v>
      </c>
      <c r="B31" s="51" t="s">
        <v>20</v>
      </c>
      <c r="C31" s="94">
        <v>1300</v>
      </c>
      <c r="D31" s="35">
        <f>C31</f>
        <v>1300</v>
      </c>
      <c r="E31" s="89" t="str">
        <f aca="true" t="shared" si="2" ref="E31:E51">IF(C31=D31,"-",D31-C31)</f>
        <v>-</v>
      </c>
      <c r="F31" s="90">
        <f t="shared" si="1"/>
        <v>1</v>
      </c>
    </row>
    <row r="32" spans="1:6" ht="28.5" customHeight="1">
      <c r="A32" s="42" t="s">
        <v>21</v>
      </c>
      <c r="B32" s="51" t="s">
        <v>22</v>
      </c>
      <c r="C32" s="94">
        <v>4030</v>
      </c>
      <c r="D32" s="35">
        <f>C32</f>
        <v>4030</v>
      </c>
      <c r="E32" s="89" t="str">
        <f t="shared" si="2"/>
        <v>-</v>
      </c>
      <c r="F32" s="90">
        <f t="shared" si="1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274</v>
      </c>
      <c r="D33" s="35">
        <f>D34+D36+D37+D38+D39+D40</f>
        <v>274</v>
      </c>
      <c r="E33" s="89" t="str">
        <f t="shared" si="2"/>
        <v>-</v>
      </c>
      <c r="F33" s="90">
        <f t="shared" si="1"/>
        <v>1</v>
      </c>
    </row>
    <row r="34" spans="1:6" ht="28.5" customHeight="1">
      <c r="A34" s="53" t="s">
        <v>45</v>
      </c>
      <c r="B34" s="54" t="s">
        <v>38</v>
      </c>
      <c r="C34" s="94">
        <v>77</v>
      </c>
      <c r="D34" s="35">
        <f>C34</f>
        <v>77</v>
      </c>
      <c r="E34" s="89" t="str">
        <f t="shared" si="2"/>
        <v>-</v>
      </c>
      <c r="F34" s="90">
        <f t="shared" si="1"/>
        <v>1</v>
      </c>
    </row>
    <row r="35" spans="1:6" ht="28.5" customHeight="1">
      <c r="A35" s="53" t="s">
        <v>46</v>
      </c>
      <c r="B35" s="55" t="s">
        <v>39</v>
      </c>
      <c r="C35" s="94">
        <v>57</v>
      </c>
      <c r="D35" s="35">
        <f>C35</f>
        <v>57</v>
      </c>
      <c r="E35" s="89" t="str">
        <f t="shared" si="2"/>
        <v>-</v>
      </c>
      <c r="F35" s="90">
        <f t="shared" si="1"/>
        <v>1</v>
      </c>
    </row>
    <row r="36" spans="1:6" ht="28.5" customHeight="1">
      <c r="A36" s="53" t="s">
        <v>47</v>
      </c>
      <c r="B36" s="54" t="s">
        <v>40</v>
      </c>
      <c r="C36" s="94">
        <v>13</v>
      </c>
      <c r="D36" s="35">
        <f>C36</f>
        <v>13</v>
      </c>
      <c r="E36" s="89" t="str">
        <f t="shared" si="2"/>
        <v>-</v>
      </c>
      <c r="F36" s="90">
        <f t="shared" si="1"/>
        <v>1</v>
      </c>
    </row>
    <row r="37" spans="1:6" ht="28.5" customHeight="1">
      <c r="A37" s="53" t="s">
        <v>48</v>
      </c>
      <c r="B37" s="54" t="s">
        <v>41</v>
      </c>
      <c r="C37" s="94">
        <v>1</v>
      </c>
      <c r="D37" s="35">
        <f aca="true" t="shared" si="3" ref="D37:D47">C37</f>
        <v>1</v>
      </c>
      <c r="E37" s="89" t="str">
        <f t="shared" si="2"/>
        <v>-</v>
      </c>
      <c r="F37" s="90">
        <f t="shared" si="1"/>
        <v>1</v>
      </c>
    </row>
    <row r="38" spans="1:6" ht="28.5" customHeight="1">
      <c r="A38" s="53" t="s">
        <v>49</v>
      </c>
      <c r="B38" s="54" t="s">
        <v>42</v>
      </c>
      <c r="C38" s="94">
        <v>0</v>
      </c>
      <c r="D38" s="35">
        <f t="shared" si="3"/>
        <v>0</v>
      </c>
      <c r="E38" s="89" t="str">
        <f t="shared" si="2"/>
        <v>-</v>
      </c>
      <c r="F38" s="90" t="str">
        <f t="shared" si="1"/>
        <v>-</v>
      </c>
    </row>
    <row r="39" spans="1:6" ht="28.5" customHeight="1">
      <c r="A39" s="53" t="s">
        <v>50</v>
      </c>
      <c r="B39" s="54" t="s">
        <v>43</v>
      </c>
      <c r="C39" s="94">
        <v>182</v>
      </c>
      <c r="D39" s="35">
        <f t="shared" si="3"/>
        <v>182</v>
      </c>
      <c r="E39" s="89" t="str">
        <f t="shared" si="2"/>
        <v>-</v>
      </c>
      <c r="F39" s="90">
        <f t="shared" si="1"/>
        <v>1</v>
      </c>
    </row>
    <row r="40" spans="1:6" ht="28.5" customHeight="1">
      <c r="A40" s="53" t="s">
        <v>51</v>
      </c>
      <c r="B40" s="54" t="s">
        <v>44</v>
      </c>
      <c r="C40" s="94">
        <v>1</v>
      </c>
      <c r="D40" s="35">
        <f t="shared" si="3"/>
        <v>1</v>
      </c>
      <c r="E40" s="89" t="str">
        <f t="shared" si="2"/>
        <v>-</v>
      </c>
      <c r="F40" s="90">
        <f t="shared" si="1"/>
        <v>1</v>
      </c>
    </row>
    <row r="41" spans="1:6" ht="28.5" customHeight="1">
      <c r="A41" s="42" t="s">
        <v>24</v>
      </c>
      <c r="B41" s="51" t="s">
        <v>25</v>
      </c>
      <c r="C41" s="35">
        <v>19431</v>
      </c>
      <c r="D41" s="35">
        <f t="shared" si="3"/>
        <v>19431</v>
      </c>
      <c r="E41" s="89" t="str">
        <f t="shared" si="2"/>
        <v>-</v>
      </c>
      <c r="F41" s="90">
        <f t="shared" si="1"/>
        <v>1</v>
      </c>
    </row>
    <row r="42" spans="1:6" ht="28.5" customHeight="1">
      <c r="A42" s="42" t="s">
        <v>26</v>
      </c>
      <c r="B42" s="52" t="s">
        <v>61</v>
      </c>
      <c r="C42" s="110">
        <f>C43+C44+C45+C46</f>
        <v>3922</v>
      </c>
      <c r="D42" s="35">
        <f>SUM(D43:D46)</f>
        <v>3922</v>
      </c>
      <c r="E42" s="89" t="str">
        <f t="shared" si="2"/>
        <v>-</v>
      </c>
      <c r="F42" s="90">
        <f t="shared" si="1"/>
        <v>1</v>
      </c>
    </row>
    <row r="43" spans="1:6" ht="28.5" customHeight="1">
      <c r="A43" s="53" t="s">
        <v>56</v>
      </c>
      <c r="B43" s="54" t="s">
        <v>52</v>
      </c>
      <c r="C43" s="35">
        <v>2892</v>
      </c>
      <c r="D43" s="35">
        <f>C43</f>
        <v>2892</v>
      </c>
      <c r="E43" s="89" t="str">
        <f t="shared" si="2"/>
        <v>-</v>
      </c>
      <c r="F43" s="90">
        <f t="shared" si="1"/>
        <v>1</v>
      </c>
    </row>
    <row r="44" spans="1:6" ht="28.5" customHeight="1">
      <c r="A44" s="53" t="s">
        <v>57</v>
      </c>
      <c r="B44" s="54" t="s">
        <v>53</v>
      </c>
      <c r="C44" s="35">
        <v>476</v>
      </c>
      <c r="D44" s="35">
        <f>C44</f>
        <v>476</v>
      </c>
      <c r="E44" s="89" t="str">
        <f t="shared" si="2"/>
        <v>-</v>
      </c>
      <c r="F44" s="90">
        <f t="shared" si="1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3"/>
        <v>0</v>
      </c>
      <c r="E45" s="89" t="str">
        <f t="shared" si="2"/>
        <v>-</v>
      </c>
      <c r="F45" s="90" t="str">
        <f t="shared" si="1"/>
        <v>-</v>
      </c>
    </row>
    <row r="46" spans="1:6" ht="28.5" customHeight="1">
      <c r="A46" s="53" t="s">
        <v>59</v>
      </c>
      <c r="B46" s="54" t="s">
        <v>55</v>
      </c>
      <c r="C46" s="35">
        <v>554</v>
      </c>
      <c r="D46" s="35">
        <f>C46</f>
        <v>554</v>
      </c>
      <c r="E46" s="89" t="str">
        <f t="shared" si="2"/>
        <v>-</v>
      </c>
      <c r="F46" s="90">
        <f t="shared" si="1"/>
        <v>1</v>
      </c>
    </row>
    <row r="47" spans="1:6" ht="28.5" customHeight="1">
      <c r="A47" s="42" t="s">
        <v>27</v>
      </c>
      <c r="B47" s="51" t="s">
        <v>28</v>
      </c>
      <c r="C47" s="94">
        <v>0</v>
      </c>
      <c r="D47" s="35">
        <f t="shared" si="3"/>
        <v>0</v>
      </c>
      <c r="E47" s="89" t="str">
        <f t="shared" si="2"/>
        <v>-</v>
      </c>
      <c r="F47" s="90" t="str">
        <f aca="true" t="shared" si="4" ref="F47:F55">IF(C47=0,"-",D47/C47)</f>
        <v>-</v>
      </c>
    </row>
    <row r="48" spans="1:6" ht="48" customHeight="1">
      <c r="A48" s="42" t="s">
        <v>29</v>
      </c>
      <c r="B48" s="51" t="s">
        <v>116</v>
      </c>
      <c r="C48" s="111">
        <v>2850</v>
      </c>
      <c r="D48" s="35">
        <f>C48</f>
        <v>2850</v>
      </c>
      <c r="E48" s="89" t="str">
        <f t="shared" si="2"/>
        <v>-</v>
      </c>
      <c r="F48" s="92">
        <f t="shared" si="4"/>
        <v>1</v>
      </c>
    </row>
    <row r="49" spans="1:6" ht="43.5" customHeight="1">
      <c r="A49" s="42" t="s">
        <v>30</v>
      </c>
      <c r="B49" s="51" t="s">
        <v>31</v>
      </c>
      <c r="C49" s="111">
        <v>560</v>
      </c>
      <c r="D49" s="35">
        <f>C49</f>
        <v>560</v>
      </c>
      <c r="E49" s="89" t="str">
        <f t="shared" si="2"/>
        <v>-</v>
      </c>
      <c r="F49" s="92">
        <f t="shared" si="4"/>
        <v>1</v>
      </c>
    </row>
    <row r="50" spans="1:6" ht="35.25" customHeight="1">
      <c r="A50" s="42" t="s">
        <v>32</v>
      </c>
      <c r="B50" s="51" t="s">
        <v>33</v>
      </c>
      <c r="C50" s="94">
        <v>285</v>
      </c>
      <c r="D50" s="35">
        <f>C50</f>
        <v>285</v>
      </c>
      <c r="E50" s="89" t="str">
        <f t="shared" si="2"/>
        <v>-</v>
      </c>
      <c r="F50" s="90">
        <f t="shared" si="4"/>
        <v>1</v>
      </c>
    </row>
    <row r="51" spans="1:6" s="3" customFormat="1" ht="30" customHeight="1">
      <c r="A51" s="44" t="s">
        <v>34</v>
      </c>
      <c r="B51" s="56" t="s">
        <v>175</v>
      </c>
      <c r="C51" s="38">
        <f>SUM(C52:C55)</f>
        <v>16166</v>
      </c>
      <c r="D51" s="38">
        <f>SUM(D52:D55)</f>
        <v>16166</v>
      </c>
      <c r="E51" s="13" t="str">
        <f t="shared" si="2"/>
        <v>-</v>
      </c>
      <c r="F51" s="93">
        <f t="shared" si="4"/>
        <v>1</v>
      </c>
    </row>
    <row r="52" spans="1:6" ht="42" customHeight="1">
      <c r="A52" s="42" t="s">
        <v>119</v>
      </c>
      <c r="B52" s="51" t="s">
        <v>144</v>
      </c>
      <c r="C52" s="94">
        <v>8</v>
      </c>
      <c r="D52" s="35">
        <f>C52</f>
        <v>8</v>
      </c>
      <c r="E52" s="94" t="str">
        <f>IF(C52=D52,"-",D52-C52)</f>
        <v>-</v>
      </c>
      <c r="F52" s="90">
        <f t="shared" si="4"/>
        <v>1</v>
      </c>
    </row>
    <row r="53" spans="1:6" ht="31.5" customHeight="1">
      <c r="A53" s="42" t="s">
        <v>35</v>
      </c>
      <c r="B53" s="51" t="s">
        <v>63</v>
      </c>
      <c r="C53" s="94">
        <v>16058</v>
      </c>
      <c r="D53" s="35">
        <f>C53</f>
        <v>16058</v>
      </c>
      <c r="E53" s="94" t="str">
        <f>IF(C53=D53,"-",D53-C53)</f>
        <v>-</v>
      </c>
      <c r="F53" s="90">
        <f t="shared" si="4"/>
        <v>1</v>
      </c>
    </row>
    <row r="54" spans="1:6" ht="31.5" customHeight="1">
      <c r="A54" s="42" t="s">
        <v>36</v>
      </c>
      <c r="B54" s="51" t="s">
        <v>121</v>
      </c>
      <c r="C54" s="94">
        <v>0</v>
      </c>
      <c r="D54" s="35">
        <f>C54</f>
        <v>0</v>
      </c>
      <c r="E54" s="94" t="str">
        <f>IF(C54=D54,"-",D54-C54)</f>
        <v>-</v>
      </c>
      <c r="F54" s="90" t="str">
        <f t="shared" si="4"/>
        <v>-</v>
      </c>
    </row>
    <row r="55" spans="1:6" ht="31.5" customHeight="1">
      <c r="A55" s="42" t="s">
        <v>120</v>
      </c>
      <c r="B55" s="51" t="s">
        <v>122</v>
      </c>
      <c r="C55" s="94">
        <v>100</v>
      </c>
      <c r="D55" s="35">
        <f>C55</f>
        <v>100</v>
      </c>
      <c r="E55" s="94" t="str">
        <f>IF(C55=D55,"-",D55-C55)</f>
        <v>-</v>
      </c>
      <c r="F55" s="90">
        <f t="shared" si="4"/>
        <v>1</v>
      </c>
    </row>
    <row r="56" spans="1:6" ht="32.25" customHeight="1">
      <c r="A56" s="44" t="s">
        <v>127</v>
      </c>
      <c r="B56" s="56" t="s">
        <v>155</v>
      </c>
      <c r="C56" s="113">
        <v>1244</v>
      </c>
      <c r="D56" s="38">
        <f>C56</f>
        <v>1244</v>
      </c>
      <c r="E56" s="13" t="str">
        <f>IF(C56=D56,"-",D56-C56)</f>
        <v>-</v>
      </c>
      <c r="F56" s="93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G1" sqref="G1:AA16384"/>
      <selection pane="topRight" activeCell="G1" sqref="G1:AA16384"/>
      <selection pane="bottomLeft" activeCell="G1" sqref="G1:AA16384"/>
      <selection pane="bottomRight" activeCell="G1" sqref="G1:AA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7" width="0" style="2" hidden="1" customWidth="1"/>
    <col min="8" max="8" width="21.75390625" style="2" hidden="1" customWidth="1"/>
    <col min="9" max="9" width="15.375" style="2" hidden="1" customWidth="1"/>
    <col min="10" max="27" width="0" style="2" hidden="1" customWidth="1"/>
    <col min="28" max="16384" width="9.125" style="2" customWidth="1"/>
  </cols>
  <sheetData>
    <row r="1" spans="1:6" s="59" customFormat="1" ht="38.25" customHeight="1">
      <c r="A1" s="129" t="str">
        <f>NFZ!A1</f>
        <v>ZMIANA PLANU FINANSOWEGO NARODOWEGO FUNDUSZU ZDROWIA NA 2010 ROK Z 16 GRUDNIA 2009 ROKU</v>
      </c>
      <c r="B1" s="129"/>
      <c r="C1" s="129"/>
      <c r="D1" s="129"/>
      <c r="E1" s="129"/>
      <c r="F1" s="129"/>
    </row>
    <row r="2" spans="1:3" s="61" customFormat="1" ht="33" customHeight="1">
      <c r="A2" s="130" t="s">
        <v>72</v>
      </c>
      <c r="B2" s="130"/>
      <c r="C2" s="130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2" t="s">
        <v>165</v>
      </c>
      <c r="B4" s="131" t="s">
        <v>62</v>
      </c>
      <c r="C4" s="127" t="s">
        <v>202</v>
      </c>
      <c r="D4" s="124" t="s">
        <v>159</v>
      </c>
      <c r="E4" s="126" t="s">
        <v>164</v>
      </c>
      <c r="F4" s="126" t="s">
        <v>163</v>
      </c>
    </row>
    <row r="5" spans="1:6" s="6" customFormat="1" ht="33" customHeight="1">
      <c r="A5" s="131"/>
      <c r="B5" s="131"/>
      <c r="C5" s="128"/>
      <c r="D5" s="125"/>
      <c r="E5" s="126"/>
      <c r="F5" s="126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9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2801280</v>
      </c>
      <c r="D7" s="16">
        <f>D8+D9+D10+D12+D13+D14+D15+D16+D17+D18+D19+D20+D21+D22+D24+D25+D26+D27</f>
        <v>2821597</v>
      </c>
      <c r="E7" s="13">
        <f>IF(C7=D7,"-",D7-C7)</f>
        <v>20317</v>
      </c>
      <c r="F7" s="88">
        <f>IF(C7=0,"-",D7/C7)</f>
        <v>1.007</v>
      </c>
      <c r="H7" s="16">
        <f>H8+H9+H10+H12+H13+H14+H15+H16+H17+H18+H19+H20+H21+H22+H24+H25+H26+H27</f>
        <v>2821597</v>
      </c>
      <c r="I7" s="16">
        <f>D7-H7</f>
        <v>0</v>
      </c>
    </row>
    <row r="8" spans="1:9" ht="31.5" customHeight="1">
      <c r="A8" s="40" t="s">
        <v>1</v>
      </c>
      <c r="B8" s="102" t="s">
        <v>166</v>
      </c>
      <c r="C8" s="111">
        <v>342163</v>
      </c>
      <c r="D8" s="36">
        <f>H8</f>
        <v>400038</v>
      </c>
      <c r="E8" s="89">
        <f aca="true" t="shared" si="0" ref="E8:E29">IF(C8=D8,"-",D8-C8)</f>
        <v>57875</v>
      </c>
      <c r="F8" s="90">
        <f aca="true" t="shared" si="1" ref="F8:F46">IF(C8=0,"-",D8/C8)</f>
        <v>1.1691</v>
      </c>
      <c r="H8" s="36">
        <v>400038</v>
      </c>
      <c r="I8" s="106">
        <f>H8-D8</f>
        <v>0</v>
      </c>
    </row>
    <row r="9" spans="1:9" ht="31.5" customHeight="1">
      <c r="A9" s="40" t="s">
        <v>2</v>
      </c>
      <c r="B9" s="102" t="s">
        <v>167</v>
      </c>
      <c r="C9" s="111">
        <v>213216</v>
      </c>
      <c r="D9" s="36">
        <f>ROUND(H9-('[6]REZERWA NA MIGRACJĘ'!$C$9-'[7]REZERWA NA MIGRACJĘ'!$C$9),0)</f>
        <v>207576</v>
      </c>
      <c r="E9" s="89">
        <f t="shared" si="0"/>
        <v>-5640</v>
      </c>
      <c r="F9" s="90">
        <f t="shared" si="1"/>
        <v>0.9735</v>
      </c>
      <c r="H9" s="36">
        <v>208047</v>
      </c>
      <c r="I9" s="106">
        <f aca="true" t="shared" si="2" ref="I9:I27">H9-D9</f>
        <v>471</v>
      </c>
    </row>
    <row r="10" spans="1:9" ht="31.5" customHeight="1">
      <c r="A10" s="40" t="s">
        <v>3</v>
      </c>
      <c r="B10" s="102" t="s">
        <v>158</v>
      </c>
      <c r="C10" s="111">
        <v>1239374</v>
      </c>
      <c r="D10" s="36">
        <f>ROUND(H10-('[6]REZERWA NA MIGRACJĘ'!$D$9-'[7]REZERWA NA MIGRACJĘ'!$D$9),0)+2+62040</f>
        <v>1277057</v>
      </c>
      <c r="E10" s="89">
        <f t="shared" si="0"/>
        <v>37683</v>
      </c>
      <c r="F10" s="90">
        <f t="shared" si="1"/>
        <v>1.0304</v>
      </c>
      <c r="H10" s="36">
        <v>1222921</v>
      </c>
      <c r="I10" s="106">
        <f t="shared" si="2"/>
        <v>-54136</v>
      </c>
    </row>
    <row r="11" spans="1:9" ht="31.5" customHeight="1">
      <c r="A11" s="103" t="s">
        <v>64</v>
      </c>
      <c r="B11" s="45" t="s">
        <v>65</v>
      </c>
      <c r="C11" s="111">
        <v>58000</v>
      </c>
      <c r="D11" s="36">
        <f>ROUND(H11-('[6]REZERWA NA MIGRACJĘ'!$E$9-'[7]REZERWA NA MIGRACJĘ'!$E$9),0)</f>
        <v>62895</v>
      </c>
      <c r="E11" s="89">
        <f t="shared" si="0"/>
        <v>4895</v>
      </c>
      <c r="F11" s="90">
        <f t="shared" si="1"/>
        <v>1.0844</v>
      </c>
      <c r="H11" s="36">
        <v>63141</v>
      </c>
      <c r="I11" s="106">
        <f t="shared" si="2"/>
        <v>246</v>
      </c>
    </row>
    <row r="12" spans="1:9" ht="31.5" customHeight="1">
      <c r="A12" s="40" t="s">
        <v>4</v>
      </c>
      <c r="B12" s="102" t="s">
        <v>173</v>
      </c>
      <c r="C12" s="111">
        <v>94225</v>
      </c>
      <c r="D12" s="36">
        <f>ROUND(H12-('[6]REZERWA NA MIGRACJĘ'!$F$9-'[7]REZERWA NA MIGRACJĘ'!$F$9),0)</f>
        <v>84376</v>
      </c>
      <c r="E12" s="89">
        <f t="shared" si="0"/>
        <v>-9849</v>
      </c>
      <c r="F12" s="90">
        <f t="shared" si="1"/>
        <v>0.8955</v>
      </c>
      <c r="H12" s="36">
        <v>84673</v>
      </c>
      <c r="I12" s="106">
        <f t="shared" si="2"/>
        <v>297</v>
      </c>
    </row>
    <row r="13" spans="1:9" ht="31.5" customHeight="1">
      <c r="A13" s="40" t="s">
        <v>5</v>
      </c>
      <c r="B13" s="102" t="s">
        <v>168</v>
      </c>
      <c r="C13" s="111">
        <v>72859</v>
      </c>
      <c r="D13" s="36">
        <f>ROUND(H13-('[6]REZERWA NA MIGRACJĘ'!$G$9-'[7]REZERWA NA MIGRACJĘ'!$G$9),0)</f>
        <v>71184</v>
      </c>
      <c r="E13" s="89">
        <f t="shared" si="0"/>
        <v>-1675</v>
      </c>
      <c r="F13" s="90">
        <f t="shared" si="1"/>
        <v>0.977</v>
      </c>
      <c r="H13" s="36">
        <v>71433</v>
      </c>
      <c r="I13" s="106">
        <f t="shared" si="2"/>
        <v>249</v>
      </c>
    </row>
    <row r="14" spans="1:9" ht="31.5" customHeight="1">
      <c r="A14" s="40" t="s">
        <v>6</v>
      </c>
      <c r="B14" s="102" t="s">
        <v>177</v>
      </c>
      <c r="C14" s="111">
        <v>35730</v>
      </c>
      <c r="D14" s="36">
        <f>ROUND(H14-('[6]REZERWA NA MIGRACJĘ'!$H$9-'[7]REZERWA NA MIGRACJĘ'!$H$9),0)</f>
        <v>33492</v>
      </c>
      <c r="E14" s="89">
        <f t="shared" si="0"/>
        <v>-2238</v>
      </c>
      <c r="F14" s="90">
        <f t="shared" si="1"/>
        <v>0.9374</v>
      </c>
      <c r="H14" s="36">
        <v>33709</v>
      </c>
      <c r="I14" s="106">
        <f t="shared" si="2"/>
        <v>217</v>
      </c>
    </row>
    <row r="15" spans="1:9" ht="31.5" customHeight="1">
      <c r="A15" s="40" t="s">
        <v>7</v>
      </c>
      <c r="B15" s="102" t="s">
        <v>176</v>
      </c>
      <c r="C15" s="111">
        <v>23290</v>
      </c>
      <c r="D15" s="36">
        <f>ROUND(H15-('[6]REZERWA NA MIGRACJĘ'!$I$9-'[7]REZERWA NA MIGRACJĘ'!$I$9),0)</f>
        <v>22652</v>
      </c>
      <c r="E15" s="89">
        <f>IF(C15=D15,"-",D15-C15)</f>
        <v>-638</v>
      </c>
      <c r="F15" s="90">
        <f>IF(C15=0,"-",D15/C15)</f>
        <v>0.9726</v>
      </c>
      <c r="H15" s="36">
        <v>22682</v>
      </c>
      <c r="I15" s="106">
        <f t="shared" si="2"/>
        <v>30</v>
      </c>
    </row>
    <row r="16" spans="1:9" ht="31.5" customHeight="1">
      <c r="A16" s="40" t="s">
        <v>8</v>
      </c>
      <c r="B16" s="102" t="s">
        <v>169</v>
      </c>
      <c r="C16" s="111">
        <v>97394</v>
      </c>
      <c r="D16" s="36">
        <f>ROUND(H16-('[6]REZERWA NA MIGRACJĘ'!$J9-'[7]REZERWA NA MIGRACJĘ'!$J$9),0)</f>
        <v>94898</v>
      </c>
      <c r="E16" s="89">
        <f t="shared" si="0"/>
        <v>-2496</v>
      </c>
      <c r="F16" s="90">
        <f t="shared" si="1"/>
        <v>0.9744</v>
      </c>
      <c r="H16" s="36">
        <v>95103</v>
      </c>
      <c r="I16" s="106">
        <f t="shared" si="2"/>
        <v>205</v>
      </c>
    </row>
    <row r="17" spans="1:9" ht="31.5" customHeight="1">
      <c r="A17" s="40" t="s">
        <v>9</v>
      </c>
      <c r="B17" s="102" t="s">
        <v>170</v>
      </c>
      <c r="C17" s="111">
        <v>38698</v>
      </c>
      <c r="D17" s="36">
        <f>ROUND(H17,0)</f>
        <v>28698</v>
      </c>
      <c r="E17" s="89">
        <f t="shared" si="0"/>
        <v>-10000</v>
      </c>
      <c r="F17" s="90">
        <f t="shared" si="1"/>
        <v>0.7416</v>
      </c>
      <c r="H17" s="36">
        <v>28698</v>
      </c>
      <c r="I17" s="106">
        <f t="shared" si="2"/>
        <v>0</v>
      </c>
    </row>
    <row r="18" spans="1:9" ht="31.5" customHeight="1">
      <c r="A18" s="40" t="s">
        <v>10</v>
      </c>
      <c r="B18" s="102" t="s">
        <v>178</v>
      </c>
      <c r="C18" s="111">
        <v>2158</v>
      </c>
      <c r="D18" s="36">
        <f>ROUND(H18,0)</f>
        <v>2270</v>
      </c>
      <c r="E18" s="89">
        <f t="shared" si="0"/>
        <v>112</v>
      </c>
      <c r="F18" s="90">
        <f t="shared" si="1"/>
        <v>1.0519</v>
      </c>
      <c r="H18" s="36">
        <v>2270</v>
      </c>
      <c r="I18" s="106">
        <f t="shared" si="2"/>
        <v>0</v>
      </c>
    </row>
    <row r="19" spans="1:9" ht="46.5" customHeight="1">
      <c r="A19" s="40" t="s">
        <v>11</v>
      </c>
      <c r="B19" s="102" t="s">
        <v>171</v>
      </c>
      <c r="C19" s="111">
        <v>9107</v>
      </c>
      <c r="D19" s="36">
        <f>ROUND(H19-('[6]REZERWA NA MIGRACJĘ'!$K$9-'[7]REZERWA NA MIGRACJĘ'!$K$9),0)</f>
        <v>8013</v>
      </c>
      <c r="E19" s="89">
        <f t="shared" si="0"/>
        <v>-1094</v>
      </c>
      <c r="F19" s="90">
        <f t="shared" si="1"/>
        <v>0.8799</v>
      </c>
      <c r="H19" s="36">
        <v>8030</v>
      </c>
      <c r="I19" s="106">
        <f t="shared" si="2"/>
        <v>17</v>
      </c>
    </row>
    <row r="20" spans="1:9" ht="31.5" customHeight="1">
      <c r="A20" s="40" t="s">
        <v>12</v>
      </c>
      <c r="B20" s="102" t="s">
        <v>172</v>
      </c>
      <c r="C20" s="111">
        <v>72251</v>
      </c>
      <c r="D20" s="36">
        <f>ROUND(H20-('[6]REZERWA NA MIGRACJĘ'!$L$9-'[7]REZERWA NA MIGRACJĘ'!$L$9),0)</f>
        <v>69597</v>
      </c>
      <c r="E20" s="89">
        <f t="shared" si="0"/>
        <v>-2654</v>
      </c>
      <c r="F20" s="90">
        <f t="shared" si="1"/>
        <v>0.9633</v>
      </c>
      <c r="H20" s="36">
        <v>70497</v>
      </c>
      <c r="I20" s="106">
        <f t="shared" si="2"/>
        <v>900</v>
      </c>
    </row>
    <row r="21" spans="1:9" ht="31.5" customHeight="1">
      <c r="A21" s="40" t="s">
        <v>14</v>
      </c>
      <c r="B21" s="46" t="s">
        <v>13</v>
      </c>
      <c r="C21" s="111">
        <v>25620</v>
      </c>
      <c r="D21" s="36">
        <f>H21</f>
        <v>28620</v>
      </c>
      <c r="E21" s="89">
        <f t="shared" si="0"/>
        <v>3000</v>
      </c>
      <c r="F21" s="90">
        <f t="shared" si="1"/>
        <v>1.1171</v>
      </c>
      <c r="H21" s="36">
        <v>28620</v>
      </c>
      <c r="I21" s="106">
        <f t="shared" si="2"/>
        <v>0</v>
      </c>
    </row>
    <row r="22" spans="1:9" ht="31.5" customHeight="1">
      <c r="A22" s="41" t="s">
        <v>15</v>
      </c>
      <c r="B22" s="102" t="s">
        <v>174</v>
      </c>
      <c r="C22" s="111">
        <v>437570</v>
      </c>
      <c r="D22" s="36">
        <f>H22-62040</f>
        <v>375530</v>
      </c>
      <c r="E22" s="89">
        <f t="shared" si="0"/>
        <v>-62040</v>
      </c>
      <c r="F22" s="90">
        <f t="shared" si="1"/>
        <v>0.8582</v>
      </c>
      <c r="H22" s="36">
        <v>437570</v>
      </c>
      <c r="I22" s="106">
        <f t="shared" si="2"/>
        <v>62040</v>
      </c>
    </row>
    <row r="23" spans="1:9" ht="31.5" customHeight="1">
      <c r="A23" s="39" t="s">
        <v>179</v>
      </c>
      <c r="B23" s="45" t="s">
        <v>66</v>
      </c>
      <c r="C23" s="111">
        <v>711</v>
      </c>
      <c r="D23" s="36">
        <f>H23</f>
        <v>711</v>
      </c>
      <c r="E23" s="89" t="str">
        <f t="shared" si="0"/>
        <v>-</v>
      </c>
      <c r="F23" s="90">
        <f t="shared" si="1"/>
        <v>1</v>
      </c>
      <c r="H23" s="36">
        <v>711</v>
      </c>
      <c r="I23" s="106">
        <f t="shared" si="2"/>
        <v>0</v>
      </c>
    </row>
    <row r="24" spans="1:9" ht="33" customHeight="1">
      <c r="A24" s="42" t="s">
        <v>16</v>
      </c>
      <c r="B24" s="47" t="s">
        <v>140</v>
      </c>
      <c r="C24" s="111">
        <v>0</v>
      </c>
      <c r="D24" s="36">
        <f>H24</f>
        <v>0</v>
      </c>
      <c r="E24" s="89" t="str">
        <f>IF(C24=D24,"-",D24-C24)</f>
        <v>-</v>
      </c>
      <c r="F24" s="90" t="str">
        <f>IF(C24=0,"-",D24/C24)</f>
        <v>-</v>
      </c>
      <c r="H24" s="36"/>
      <c r="I24" s="106">
        <f t="shared" si="2"/>
        <v>0</v>
      </c>
    </row>
    <row r="25" spans="1:9" ht="33" customHeight="1">
      <c r="A25" s="42" t="s">
        <v>137</v>
      </c>
      <c r="B25" s="48" t="s">
        <v>60</v>
      </c>
      <c r="C25" s="111">
        <v>0</v>
      </c>
      <c r="D25" s="36">
        <f>H25</f>
        <v>0</v>
      </c>
      <c r="E25" s="89" t="str">
        <f>IF(C25=D25,"-",D25-C25)</f>
        <v>-</v>
      </c>
      <c r="F25" s="90" t="str">
        <f>IF(C25=0,"-",D25/C25)</f>
        <v>-</v>
      </c>
      <c r="H25" s="36"/>
      <c r="I25" s="106">
        <f t="shared" si="2"/>
        <v>0</v>
      </c>
    </row>
    <row r="26" spans="1:9" ht="33" customHeight="1">
      <c r="A26" s="42" t="s">
        <v>138</v>
      </c>
      <c r="B26" s="48" t="s">
        <v>141</v>
      </c>
      <c r="C26" s="111">
        <v>97475</v>
      </c>
      <c r="D26" s="36">
        <f>ROUND('[6]REZERWA NA MIGRACJĘ'!$B$9,0)</f>
        <v>117485</v>
      </c>
      <c r="E26" s="89">
        <f>IF(C26=D26,"-",D26-C26)</f>
        <v>20010</v>
      </c>
      <c r="F26" s="90">
        <f>IF(C26=0,"-",D26/C26)</f>
        <v>1.2053</v>
      </c>
      <c r="H26" s="36">
        <v>107188</v>
      </c>
      <c r="I26" s="106">
        <f t="shared" si="2"/>
        <v>-10297</v>
      </c>
    </row>
    <row r="27" spans="1:9" ht="33" customHeight="1">
      <c r="A27" s="42" t="s">
        <v>139</v>
      </c>
      <c r="B27" s="48" t="s">
        <v>142</v>
      </c>
      <c r="C27" s="111">
        <v>150</v>
      </c>
      <c r="D27" s="36">
        <f>ROUND(H27-('[6]REZERWA NA MIGRACJĘ'!$M$9-'[7]REZERWA NA MIGRACJĘ'!$M$9),0)</f>
        <v>111</v>
      </c>
      <c r="E27" s="89">
        <f>IF(C27=D27,"-",D27-C27)</f>
        <v>-39</v>
      </c>
      <c r="F27" s="90">
        <f>IF(C27=0,"-",D27/C27)</f>
        <v>0.74</v>
      </c>
      <c r="H27" s="36">
        <v>118</v>
      </c>
      <c r="I27" s="106">
        <f t="shared" si="2"/>
        <v>7</v>
      </c>
    </row>
    <row r="28" spans="1:6" s="5" customFormat="1" ht="31.5" customHeight="1">
      <c r="A28" s="43" t="s">
        <v>68</v>
      </c>
      <c r="B28" s="49" t="s">
        <v>69</v>
      </c>
      <c r="C28" s="112">
        <v>0</v>
      </c>
      <c r="D28" s="119">
        <f>C28</f>
        <v>0</v>
      </c>
      <c r="E28" s="15" t="str">
        <f t="shared" si="0"/>
        <v>-</v>
      </c>
      <c r="F28" s="120" t="str">
        <f t="shared" si="1"/>
        <v>-</v>
      </c>
    </row>
    <row r="29" spans="1:6" s="5" customFormat="1" ht="31.5" customHeight="1">
      <c r="A29" s="43" t="s">
        <v>67</v>
      </c>
      <c r="B29" s="49" t="s">
        <v>70</v>
      </c>
      <c r="C29" s="115">
        <v>102965</v>
      </c>
      <c r="D29" s="119">
        <f>C29</f>
        <v>102965</v>
      </c>
      <c r="E29" s="15" t="str">
        <f t="shared" si="0"/>
        <v>-</v>
      </c>
      <c r="F29" s="120">
        <f t="shared" si="1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25667</v>
      </c>
      <c r="D30" s="34">
        <f>D31+D32+D33+D41+D42+D48+D49+D50+D47</f>
        <v>25667</v>
      </c>
      <c r="E30" s="13" t="str">
        <f>IF(C30=D30,"-",D30-C30)</f>
        <v>-</v>
      </c>
      <c r="F30" s="91">
        <f t="shared" si="1"/>
        <v>1</v>
      </c>
    </row>
    <row r="31" spans="1:6" ht="28.5" customHeight="1">
      <c r="A31" s="42" t="s">
        <v>19</v>
      </c>
      <c r="B31" s="51" t="s">
        <v>20</v>
      </c>
      <c r="C31" s="94">
        <v>822</v>
      </c>
      <c r="D31" s="35">
        <f>C31</f>
        <v>822</v>
      </c>
      <c r="E31" s="89" t="str">
        <f aca="true" t="shared" si="3" ref="E31:E51">IF(C31=D31,"-",D31-C31)</f>
        <v>-</v>
      </c>
      <c r="F31" s="90">
        <f t="shared" si="1"/>
        <v>1</v>
      </c>
    </row>
    <row r="32" spans="1:6" ht="28.5" customHeight="1">
      <c r="A32" s="42" t="s">
        <v>21</v>
      </c>
      <c r="B32" s="51" t="s">
        <v>22</v>
      </c>
      <c r="C32" s="94">
        <v>3263</v>
      </c>
      <c r="D32" s="35">
        <f>C32</f>
        <v>3263</v>
      </c>
      <c r="E32" s="89" t="str">
        <f t="shared" si="3"/>
        <v>-</v>
      </c>
      <c r="F32" s="90">
        <f t="shared" si="1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149</v>
      </c>
      <c r="D33" s="35">
        <f aca="true" t="shared" si="4" ref="D33:D50">C33</f>
        <v>149</v>
      </c>
      <c r="E33" s="89" t="str">
        <f t="shared" si="3"/>
        <v>-</v>
      </c>
      <c r="F33" s="90">
        <f t="shared" si="1"/>
        <v>1</v>
      </c>
    </row>
    <row r="34" spans="1:6" ht="28.5" customHeight="1">
      <c r="A34" s="53" t="s">
        <v>45</v>
      </c>
      <c r="B34" s="54" t="s">
        <v>38</v>
      </c>
      <c r="C34" s="94">
        <v>20</v>
      </c>
      <c r="D34" s="35">
        <f t="shared" si="4"/>
        <v>20</v>
      </c>
      <c r="E34" s="89" t="str">
        <f t="shared" si="3"/>
        <v>-</v>
      </c>
      <c r="F34" s="90">
        <f t="shared" si="1"/>
        <v>1</v>
      </c>
    </row>
    <row r="35" spans="1:6" ht="28.5" customHeight="1">
      <c r="A35" s="53" t="s">
        <v>46</v>
      </c>
      <c r="B35" s="55" t="s">
        <v>39</v>
      </c>
      <c r="C35" s="94">
        <v>20</v>
      </c>
      <c r="D35" s="35">
        <f t="shared" si="4"/>
        <v>20</v>
      </c>
      <c r="E35" s="89" t="str">
        <f t="shared" si="3"/>
        <v>-</v>
      </c>
      <c r="F35" s="90">
        <f t="shared" si="1"/>
        <v>1</v>
      </c>
    </row>
    <row r="36" spans="1:6" ht="28.5" customHeight="1">
      <c r="A36" s="53" t="s">
        <v>47</v>
      </c>
      <c r="B36" s="54" t="s">
        <v>40</v>
      </c>
      <c r="C36" s="94">
        <v>4</v>
      </c>
      <c r="D36" s="35">
        <f t="shared" si="4"/>
        <v>4</v>
      </c>
      <c r="E36" s="89" t="str">
        <f t="shared" si="3"/>
        <v>-</v>
      </c>
      <c r="F36" s="90">
        <f t="shared" si="1"/>
        <v>1</v>
      </c>
    </row>
    <row r="37" spans="1:6" ht="28.5" customHeight="1">
      <c r="A37" s="53" t="s">
        <v>48</v>
      </c>
      <c r="B37" s="54" t="s">
        <v>41</v>
      </c>
      <c r="C37" s="94">
        <v>0</v>
      </c>
      <c r="D37" s="35">
        <f t="shared" si="4"/>
        <v>0</v>
      </c>
      <c r="E37" s="89" t="str">
        <f t="shared" si="3"/>
        <v>-</v>
      </c>
      <c r="F37" s="90" t="str">
        <f t="shared" si="1"/>
        <v>-</v>
      </c>
    </row>
    <row r="38" spans="1:6" ht="28.5" customHeight="1">
      <c r="A38" s="53" t="s">
        <v>49</v>
      </c>
      <c r="B38" s="54" t="s">
        <v>42</v>
      </c>
      <c r="C38" s="94">
        <v>0</v>
      </c>
      <c r="D38" s="35">
        <f t="shared" si="4"/>
        <v>0</v>
      </c>
      <c r="E38" s="89" t="str">
        <f t="shared" si="3"/>
        <v>-</v>
      </c>
      <c r="F38" s="90" t="str">
        <f t="shared" si="1"/>
        <v>-</v>
      </c>
    </row>
    <row r="39" spans="1:6" ht="28.5" customHeight="1">
      <c r="A39" s="53" t="s">
        <v>50</v>
      </c>
      <c r="B39" s="54" t="s">
        <v>43</v>
      </c>
      <c r="C39" s="94">
        <v>120</v>
      </c>
      <c r="D39" s="35">
        <f t="shared" si="4"/>
        <v>120</v>
      </c>
      <c r="E39" s="89" t="str">
        <f t="shared" si="3"/>
        <v>-</v>
      </c>
      <c r="F39" s="90">
        <f t="shared" si="1"/>
        <v>1</v>
      </c>
    </row>
    <row r="40" spans="1:6" ht="28.5" customHeight="1">
      <c r="A40" s="53" t="s">
        <v>51</v>
      </c>
      <c r="B40" s="54" t="s">
        <v>44</v>
      </c>
      <c r="C40" s="94">
        <v>5</v>
      </c>
      <c r="D40" s="35">
        <f t="shared" si="4"/>
        <v>5</v>
      </c>
      <c r="E40" s="89" t="str">
        <f t="shared" si="3"/>
        <v>-</v>
      </c>
      <c r="F40" s="90">
        <f t="shared" si="1"/>
        <v>1</v>
      </c>
    </row>
    <row r="41" spans="1:6" ht="28.5" customHeight="1">
      <c r="A41" s="42" t="s">
        <v>24</v>
      </c>
      <c r="B41" s="51" t="s">
        <v>25</v>
      </c>
      <c r="C41" s="35">
        <v>13744</v>
      </c>
      <c r="D41" s="35">
        <f t="shared" si="4"/>
        <v>13744</v>
      </c>
      <c r="E41" s="89" t="str">
        <f t="shared" si="3"/>
        <v>-</v>
      </c>
      <c r="F41" s="90">
        <f t="shared" si="1"/>
        <v>1</v>
      </c>
    </row>
    <row r="42" spans="1:6" ht="28.5" customHeight="1">
      <c r="A42" s="42" t="s">
        <v>26</v>
      </c>
      <c r="B42" s="52" t="s">
        <v>61</v>
      </c>
      <c r="C42" s="110">
        <f>C43+C44+C45+C46</f>
        <v>2774</v>
      </c>
      <c r="D42" s="35">
        <f t="shared" si="4"/>
        <v>2774</v>
      </c>
      <c r="E42" s="89" t="str">
        <f t="shared" si="3"/>
        <v>-</v>
      </c>
      <c r="F42" s="90">
        <f t="shared" si="1"/>
        <v>1</v>
      </c>
    </row>
    <row r="43" spans="1:6" ht="28.5" customHeight="1">
      <c r="A43" s="53" t="s">
        <v>56</v>
      </c>
      <c r="B43" s="54" t="s">
        <v>52</v>
      </c>
      <c r="C43" s="35">
        <v>1952</v>
      </c>
      <c r="D43" s="35">
        <f t="shared" si="4"/>
        <v>1952</v>
      </c>
      <c r="E43" s="89" t="str">
        <f t="shared" si="3"/>
        <v>-</v>
      </c>
      <c r="F43" s="90">
        <f t="shared" si="1"/>
        <v>1</v>
      </c>
    </row>
    <row r="44" spans="1:6" ht="28.5" customHeight="1">
      <c r="A44" s="53" t="s">
        <v>57</v>
      </c>
      <c r="B44" s="54" t="s">
        <v>53</v>
      </c>
      <c r="C44" s="35">
        <v>337</v>
      </c>
      <c r="D44" s="35">
        <f t="shared" si="4"/>
        <v>337</v>
      </c>
      <c r="E44" s="89" t="str">
        <f t="shared" si="3"/>
        <v>-</v>
      </c>
      <c r="F44" s="90">
        <f t="shared" si="1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1"/>
        <v>-</v>
      </c>
    </row>
    <row r="46" spans="1:6" ht="28.5" customHeight="1">
      <c r="A46" s="53" t="s">
        <v>59</v>
      </c>
      <c r="B46" s="54" t="s">
        <v>55</v>
      </c>
      <c r="C46" s="35">
        <v>485</v>
      </c>
      <c r="D46" s="35">
        <f t="shared" si="4"/>
        <v>485</v>
      </c>
      <c r="E46" s="89" t="str">
        <f t="shared" si="3"/>
        <v>-</v>
      </c>
      <c r="F46" s="90">
        <f t="shared" si="1"/>
        <v>1</v>
      </c>
    </row>
    <row r="47" spans="1:6" ht="28.5" customHeight="1">
      <c r="A47" s="42" t="s">
        <v>27</v>
      </c>
      <c r="B47" s="51" t="s">
        <v>28</v>
      </c>
      <c r="C47" s="94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</row>
    <row r="48" spans="1:6" ht="48" customHeight="1">
      <c r="A48" s="42" t="s">
        <v>29</v>
      </c>
      <c r="B48" s="51" t="s">
        <v>116</v>
      </c>
      <c r="C48" s="111">
        <v>4500</v>
      </c>
      <c r="D48" s="35">
        <f t="shared" si="4"/>
        <v>4500</v>
      </c>
      <c r="E48" s="89" t="str">
        <f t="shared" si="3"/>
        <v>-</v>
      </c>
      <c r="F48" s="92">
        <f t="shared" si="5"/>
        <v>1</v>
      </c>
    </row>
    <row r="49" spans="1:6" ht="43.5" customHeight="1">
      <c r="A49" s="42" t="s">
        <v>30</v>
      </c>
      <c r="B49" s="51" t="s">
        <v>31</v>
      </c>
      <c r="C49" s="111">
        <v>97</v>
      </c>
      <c r="D49" s="35">
        <f t="shared" si="4"/>
        <v>97</v>
      </c>
      <c r="E49" s="89" t="str">
        <f t="shared" si="3"/>
        <v>-</v>
      </c>
      <c r="F49" s="92">
        <f t="shared" si="5"/>
        <v>1</v>
      </c>
    </row>
    <row r="50" spans="1:6" ht="35.25" customHeight="1">
      <c r="A50" s="42" t="s">
        <v>32</v>
      </c>
      <c r="B50" s="51" t="s">
        <v>33</v>
      </c>
      <c r="C50" s="94">
        <v>318</v>
      </c>
      <c r="D50" s="35">
        <f t="shared" si="4"/>
        <v>318</v>
      </c>
      <c r="E50" s="89" t="str">
        <f t="shared" si="3"/>
        <v>-</v>
      </c>
      <c r="F50" s="90">
        <f t="shared" si="5"/>
        <v>1</v>
      </c>
    </row>
    <row r="51" spans="1:6" s="3" customFormat="1" ht="30" customHeight="1">
      <c r="A51" s="44" t="s">
        <v>34</v>
      </c>
      <c r="B51" s="56" t="s">
        <v>175</v>
      </c>
      <c r="C51" s="38">
        <f>SUM(C52:C55)</f>
        <v>12369</v>
      </c>
      <c r="D51" s="38">
        <f>SUM(D52:D55)</f>
        <v>12369</v>
      </c>
      <c r="E51" s="13" t="str">
        <f t="shared" si="3"/>
        <v>-</v>
      </c>
      <c r="F51" s="93">
        <f t="shared" si="5"/>
        <v>1</v>
      </c>
    </row>
    <row r="52" spans="1:6" ht="42" customHeight="1">
      <c r="A52" s="42" t="s">
        <v>119</v>
      </c>
      <c r="B52" s="51" t="s">
        <v>144</v>
      </c>
      <c r="C52" s="94">
        <v>477</v>
      </c>
      <c r="D52" s="35">
        <f>C52</f>
        <v>477</v>
      </c>
      <c r="E52" s="94" t="str">
        <f>IF(C52=D52,"-",D52-C52)</f>
        <v>-</v>
      </c>
      <c r="F52" s="100">
        <f t="shared" si="5"/>
        <v>1</v>
      </c>
    </row>
    <row r="53" spans="1:6" ht="31.5" customHeight="1">
      <c r="A53" s="42" t="s">
        <v>35</v>
      </c>
      <c r="B53" s="51" t="s">
        <v>63</v>
      </c>
      <c r="C53" s="94">
        <v>11617</v>
      </c>
      <c r="D53" s="35">
        <f>C53</f>
        <v>11617</v>
      </c>
      <c r="E53" s="94" t="str">
        <f>IF(C53=D53,"-",D53-C53)</f>
        <v>-</v>
      </c>
      <c r="F53" s="100">
        <f t="shared" si="5"/>
        <v>1</v>
      </c>
    </row>
    <row r="54" spans="1:6" ht="31.5" customHeight="1">
      <c r="A54" s="42" t="s">
        <v>36</v>
      </c>
      <c r="B54" s="51" t="s">
        <v>121</v>
      </c>
      <c r="C54" s="94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</row>
    <row r="55" spans="1:6" ht="31.5" customHeight="1">
      <c r="A55" s="42" t="s">
        <v>120</v>
      </c>
      <c r="B55" s="51" t="s">
        <v>122</v>
      </c>
      <c r="C55" s="94">
        <v>275</v>
      </c>
      <c r="D55" s="35">
        <f>C55</f>
        <v>275</v>
      </c>
      <c r="E55" s="94" t="str">
        <f>IF(C55=D55,"-",D55-C55)</f>
        <v>-</v>
      </c>
      <c r="F55" s="100">
        <f t="shared" si="5"/>
        <v>1</v>
      </c>
    </row>
    <row r="56" spans="1:6" ht="32.25" customHeight="1">
      <c r="A56" s="44" t="s">
        <v>127</v>
      </c>
      <c r="B56" s="56" t="s">
        <v>155</v>
      </c>
      <c r="C56" s="113">
        <v>886</v>
      </c>
      <c r="D56" s="38">
        <f>C56</f>
        <v>886</v>
      </c>
      <c r="E56" s="13" t="str">
        <f>IF(C56=D56,"-",D56-C56)</f>
        <v>-</v>
      </c>
      <c r="F56" s="93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G1" sqref="G1:AA16384"/>
      <selection pane="topRight" activeCell="G1" sqref="G1:AA16384"/>
      <selection pane="bottomLeft" activeCell="G1" sqref="G1:AA16384"/>
      <selection pane="bottomRight" activeCell="G1" sqref="G1:AA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7" width="0" style="2" hidden="1" customWidth="1"/>
    <col min="8" max="8" width="21.75390625" style="2" hidden="1" customWidth="1"/>
    <col min="9" max="9" width="15.125" style="2" hidden="1" customWidth="1"/>
    <col min="10" max="27" width="0" style="2" hidden="1" customWidth="1"/>
    <col min="28" max="16384" width="9.125" style="2" customWidth="1"/>
  </cols>
  <sheetData>
    <row r="1" spans="1:6" s="59" customFormat="1" ht="38.25" customHeight="1">
      <c r="A1" s="129" t="str">
        <f>NFZ!A1</f>
        <v>ZMIANA PLANU FINANSOWEGO NARODOWEGO FUNDUSZU ZDROWIA NA 2010 ROK Z 16 GRUDNIA 2009 ROKU</v>
      </c>
      <c r="B1" s="129"/>
      <c r="C1" s="129"/>
      <c r="D1" s="129"/>
      <c r="E1" s="129"/>
      <c r="F1" s="129"/>
    </row>
    <row r="2" spans="1:3" s="61" customFormat="1" ht="33" customHeight="1">
      <c r="A2" s="130" t="s">
        <v>73</v>
      </c>
      <c r="B2" s="130"/>
      <c r="C2" s="130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2" t="s">
        <v>165</v>
      </c>
      <c r="B4" s="131" t="s">
        <v>62</v>
      </c>
      <c r="C4" s="127" t="s">
        <v>202</v>
      </c>
      <c r="D4" s="124" t="s">
        <v>159</v>
      </c>
      <c r="E4" s="126" t="s">
        <v>164</v>
      </c>
      <c r="F4" s="126" t="s">
        <v>163</v>
      </c>
    </row>
    <row r="5" spans="1:6" s="6" customFormat="1" ht="33" customHeight="1">
      <c r="A5" s="131"/>
      <c r="B5" s="131"/>
      <c r="C5" s="128"/>
      <c r="D5" s="125"/>
      <c r="E5" s="126"/>
      <c r="F5" s="126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9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2911823</v>
      </c>
      <c r="D7" s="16">
        <f>D8+D9+D10+D12+D13+D14+D15+D16+D17+D18+D19+D20+D21+D22+D24+D25+D26+D27</f>
        <v>2927255</v>
      </c>
      <c r="E7" s="13">
        <f>IF(C7=D7,"-",D7-C7)</f>
        <v>15432</v>
      </c>
      <c r="F7" s="88">
        <f>IF(C7=0,"-",D7/C7)</f>
        <v>1.005</v>
      </c>
      <c r="H7" s="16">
        <f>H8+H9+H10+H12+H13+H14+H15+H16+H17+H18+H19+H20+H21+H22+H24+H25+H26+H27</f>
        <v>2927255</v>
      </c>
      <c r="I7" s="16">
        <f>D7-H7</f>
        <v>0</v>
      </c>
    </row>
    <row r="8" spans="1:8" ht="31.5" customHeight="1">
      <c r="A8" s="40" t="s">
        <v>1</v>
      </c>
      <c r="B8" s="102" t="s">
        <v>166</v>
      </c>
      <c r="C8" s="111">
        <v>433000</v>
      </c>
      <c r="D8" s="36">
        <f>H8</f>
        <v>423000</v>
      </c>
      <c r="E8" s="89">
        <f aca="true" t="shared" si="0" ref="E8:E29">IF(C8=D8,"-",D8-C8)</f>
        <v>-10000</v>
      </c>
      <c r="F8" s="90">
        <f aca="true" t="shared" si="1" ref="F8:F46">IF(C8=0,"-",D8/C8)</f>
        <v>0.9769</v>
      </c>
      <c r="H8" s="36">
        <v>423000</v>
      </c>
    </row>
    <row r="9" spans="1:8" ht="31.5" customHeight="1">
      <c r="A9" s="40" t="s">
        <v>2</v>
      </c>
      <c r="B9" s="102" t="s">
        <v>167</v>
      </c>
      <c r="C9" s="111">
        <v>207000</v>
      </c>
      <c r="D9" s="36">
        <f>ROUND(H9-('[6]REZERWA NA MIGRACJĘ'!$C$10-'[7]REZERWA NA MIGRACJĘ'!$C$10),0)</f>
        <v>205417</v>
      </c>
      <c r="E9" s="89">
        <f t="shared" si="0"/>
        <v>-1583</v>
      </c>
      <c r="F9" s="90">
        <f t="shared" si="1"/>
        <v>0.9924</v>
      </c>
      <c r="H9" s="36">
        <v>206390</v>
      </c>
    </row>
    <row r="10" spans="1:8" ht="31.5" customHeight="1">
      <c r="A10" s="40" t="s">
        <v>3</v>
      </c>
      <c r="B10" s="102" t="s">
        <v>158</v>
      </c>
      <c r="C10" s="111">
        <v>1195508</v>
      </c>
      <c r="D10" s="36">
        <f>ROUND(H10-('[6]REZERWA NA MIGRACJĘ'!$D$10-'[7]REZERWA NA MIGRACJĘ'!$D$10),0)-1+82287</f>
        <v>1270297</v>
      </c>
      <c r="E10" s="89">
        <f t="shared" si="0"/>
        <v>74789</v>
      </c>
      <c r="F10" s="90">
        <f t="shared" si="1"/>
        <v>1.0626</v>
      </c>
      <c r="H10" s="36">
        <v>1200373</v>
      </c>
    </row>
    <row r="11" spans="1:8" ht="31.5" customHeight="1">
      <c r="A11" s="103" t="s">
        <v>64</v>
      </c>
      <c r="B11" s="45" t="s">
        <v>65</v>
      </c>
      <c r="C11" s="111">
        <v>48000</v>
      </c>
      <c r="D11" s="36">
        <f>ROUND(H11-('[6]REZERWA NA MIGRACJĘ'!$E$10-'[7]REZERWA NA MIGRACJĘ'!$E$10),0)</f>
        <v>50116</v>
      </c>
      <c r="E11" s="89">
        <f t="shared" si="0"/>
        <v>2116</v>
      </c>
      <c r="F11" s="90">
        <f t="shared" si="1"/>
        <v>1.0441</v>
      </c>
      <c r="H11" s="36">
        <v>51000</v>
      </c>
    </row>
    <row r="12" spans="1:8" ht="31.5" customHeight="1">
      <c r="A12" s="40" t="s">
        <v>4</v>
      </c>
      <c r="B12" s="102" t="s">
        <v>173</v>
      </c>
      <c r="C12" s="111">
        <v>100250</v>
      </c>
      <c r="D12" s="36">
        <f>ROUND(H12-('[6]REZERWA NA MIGRACJĘ'!$F$10-'[7]REZERWA NA MIGRACJĘ'!$F$10),0)</f>
        <v>98127</v>
      </c>
      <c r="E12" s="89">
        <f t="shared" si="0"/>
        <v>-2123</v>
      </c>
      <c r="F12" s="90">
        <f t="shared" si="1"/>
        <v>0.9788</v>
      </c>
      <c r="H12" s="36">
        <v>98543</v>
      </c>
    </row>
    <row r="13" spans="1:8" ht="31.5" customHeight="1">
      <c r="A13" s="40" t="s">
        <v>5</v>
      </c>
      <c r="B13" s="102" t="s">
        <v>168</v>
      </c>
      <c r="C13" s="111">
        <v>81800</v>
      </c>
      <c r="D13" s="36">
        <f>ROUND(H13-('[6]REZERWA NA MIGRACJĘ'!$G$10-'[7]REZERWA NA MIGRACJĘ'!$G$10),0)</f>
        <v>80832</v>
      </c>
      <c r="E13" s="89">
        <f t="shared" si="0"/>
        <v>-968</v>
      </c>
      <c r="F13" s="90">
        <f t="shared" si="1"/>
        <v>0.9882</v>
      </c>
      <c r="H13" s="36">
        <v>81461</v>
      </c>
    </row>
    <row r="14" spans="1:8" ht="31.5" customHeight="1">
      <c r="A14" s="40" t="s">
        <v>6</v>
      </c>
      <c r="B14" s="102" t="s">
        <v>177</v>
      </c>
      <c r="C14" s="111">
        <v>41780</v>
      </c>
      <c r="D14" s="36">
        <f>ROUND(H14-('[6]REZERWA NA MIGRACJĘ'!$H$10-'[7]REZERWA NA MIGRACJĘ'!$H$10),0)</f>
        <v>41397</v>
      </c>
      <c r="E14" s="89">
        <f t="shared" si="0"/>
        <v>-383</v>
      </c>
      <c r="F14" s="90">
        <f t="shared" si="1"/>
        <v>0.9908</v>
      </c>
      <c r="H14" s="36">
        <v>41569</v>
      </c>
    </row>
    <row r="15" spans="1:8" ht="31.5" customHeight="1">
      <c r="A15" s="40" t="s">
        <v>7</v>
      </c>
      <c r="B15" s="102" t="s">
        <v>176</v>
      </c>
      <c r="C15" s="111">
        <v>12320</v>
      </c>
      <c r="D15" s="36">
        <f>ROUND(H15-('[6]REZERWA NA MIGRACJĘ'!$I$10-'[7]REZERWA NA MIGRACJĘ'!$I$10),0)</f>
        <v>12070</v>
      </c>
      <c r="E15" s="89">
        <f>IF(C15=D15,"-",D15-C15)</f>
        <v>-250</v>
      </c>
      <c r="F15" s="90">
        <f>IF(C15=0,"-",D15/C15)</f>
        <v>0.9797</v>
      </c>
      <c r="H15" s="36">
        <v>12099</v>
      </c>
    </row>
    <row r="16" spans="1:8" ht="31.5" customHeight="1">
      <c r="A16" s="40" t="s">
        <v>8</v>
      </c>
      <c r="B16" s="102" t="s">
        <v>169</v>
      </c>
      <c r="C16" s="111">
        <v>116500</v>
      </c>
      <c r="D16" s="36">
        <f>ROUND(H16-('[6]REZERWA NA MIGRACJĘ'!$J10-'[7]REZERWA NA MIGRACJĘ'!$J$10),0)</f>
        <v>113382</v>
      </c>
      <c r="E16" s="89">
        <f t="shared" si="0"/>
        <v>-3118</v>
      </c>
      <c r="F16" s="90">
        <f t="shared" si="1"/>
        <v>0.9732</v>
      </c>
      <c r="H16" s="36">
        <v>113972</v>
      </c>
    </row>
    <row r="17" spans="1:8" ht="31.5" customHeight="1">
      <c r="A17" s="40" t="s">
        <v>9</v>
      </c>
      <c r="B17" s="102" t="s">
        <v>170</v>
      </c>
      <c r="C17" s="111">
        <v>40014</v>
      </c>
      <c r="D17" s="36">
        <f>ROUND(H17,0)</f>
        <v>39014</v>
      </c>
      <c r="E17" s="89">
        <f t="shared" si="0"/>
        <v>-1000</v>
      </c>
      <c r="F17" s="90">
        <f t="shared" si="1"/>
        <v>0.975</v>
      </c>
      <c r="H17" s="36">
        <v>39014</v>
      </c>
    </row>
    <row r="18" spans="1:8" ht="31.5" customHeight="1">
      <c r="A18" s="40" t="s">
        <v>10</v>
      </c>
      <c r="B18" s="102" t="s">
        <v>178</v>
      </c>
      <c r="C18" s="111">
        <v>2300</v>
      </c>
      <c r="D18" s="36">
        <f>ROUND(H18,0)</f>
        <v>2300</v>
      </c>
      <c r="E18" s="89" t="str">
        <f t="shared" si="0"/>
        <v>-</v>
      </c>
      <c r="F18" s="90">
        <f t="shared" si="1"/>
        <v>1</v>
      </c>
      <c r="H18" s="36">
        <v>2300</v>
      </c>
    </row>
    <row r="19" spans="1:8" ht="46.5" customHeight="1">
      <c r="A19" s="40" t="s">
        <v>11</v>
      </c>
      <c r="B19" s="102" t="s">
        <v>171</v>
      </c>
      <c r="C19" s="111">
        <v>7400</v>
      </c>
      <c r="D19" s="36">
        <f>ROUND(H19-('[6]REZERWA NA MIGRACJĘ'!$K$10-'[7]REZERWA NA MIGRACJĘ'!$K$10),0)</f>
        <v>7449</v>
      </c>
      <c r="E19" s="89">
        <f t="shared" si="0"/>
        <v>49</v>
      </c>
      <c r="F19" s="90">
        <f t="shared" si="1"/>
        <v>1.0066</v>
      </c>
      <c r="H19" s="36">
        <v>7460</v>
      </c>
    </row>
    <row r="20" spans="1:8" ht="31.5" customHeight="1">
      <c r="A20" s="40" t="s">
        <v>12</v>
      </c>
      <c r="B20" s="102" t="s">
        <v>172</v>
      </c>
      <c r="C20" s="111">
        <v>66400</v>
      </c>
      <c r="D20" s="36">
        <f>ROUND(H20-('[6]REZERWA NA MIGRACJĘ'!$L$10-'[7]REZERWA NA MIGRACJĘ'!$L$10),0)</f>
        <v>63013</v>
      </c>
      <c r="E20" s="89">
        <f t="shared" si="0"/>
        <v>-3387</v>
      </c>
      <c r="F20" s="90">
        <f t="shared" si="1"/>
        <v>0.949</v>
      </c>
      <c r="H20" s="36">
        <v>65251</v>
      </c>
    </row>
    <row r="21" spans="1:8" ht="31.5" customHeight="1">
      <c r="A21" s="40" t="s">
        <v>14</v>
      </c>
      <c r="B21" s="46" t="s">
        <v>13</v>
      </c>
      <c r="C21" s="111">
        <v>30900</v>
      </c>
      <c r="D21" s="36">
        <f>H21</f>
        <v>30900</v>
      </c>
      <c r="E21" s="89" t="str">
        <f t="shared" si="0"/>
        <v>-</v>
      </c>
      <c r="F21" s="90">
        <f t="shared" si="1"/>
        <v>1</v>
      </c>
      <c r="H21" s="36">
        <v>30900</v>
      </c>
    </row>
    <row r="22" spans="1:8" ht="31.5" customHeight="1">
      <c r="A22" s="41" t="s">
        <v>15</v>
      </c>
      <c r="B22" s="102" t="s">
        <v>174</v>
      </c>
      <c r="C22" s="111">
        <v>447515</v>
      </c>
      <c r="D22" s="36">
        <f>H22-82287</f>
        <v>370228</v>
      </c>
      <c r="E22" s="89">
        <f t="shared" si="0"/>
        <v>-77287</v>
      </c>
      <c r="F22" s="90">
        <f t="shared" si="1"/>
        <v>0.8273</v>
      </c>
      <c r="H22" s="36">
        <v>452515</v>
      </c>
    </row>
    <row r="23" spans="1:8" ht="31.5" customHeight="1">
      <c r="A23" s="39" t="s">
        <v>179</v>
      </c>
      <c r="B23" s="45" t="s">
        <v>66</v>
      </c>
      <c r="C23" s="111">
        <v>2000</v>
      </c>
      <c r="D23" s="36">
        <f>H23</f>
        <v>2000</v>
      </c>
      <c r="E23" s="89" t="str">
        <f t="shared" si="0"/>
        <v>-</v>
      </c>
      <c r="F23" s="90">
        <f t="shared" si="1"/>
        <v>1</v>
      </c>
      <c r="H23" s="36">
        <v>2000</v>
      </c>
    </row>
    <row r="24" spans="1:8" ht="33" customHeight="1">
      <c r="A24" s="42" t="s">
        <v>16</v>
      </c>
      <c r="B24" s="47" t="s">
        <v>140</v>
      </c>
      <c r="C24" s="111">
        <v>0</v>
      </c>
      <c r="D24" s="36">
        <f>H24</f>
        <v>0</v>
      </c>
      <c r="E24" s="89" t="str">
        <f>IF(C24=D24,"-",D24-C24)</f>
        <v>-</v>
      </c>
      <c r="F24" s="90" t="str">
        <f>IF(C24=0,"-",D24/C24)</f>
        <v>-</v>
      </c>
      <c r="H24" s="36">
        <v>0</v>
      </c>
    </row>
    <row r="25" spans="1:8" ht="33" customHeight="1">
      <c r="A25" s="42" t="s">
        <v>137</v>
      </c>
      <c r="B25" s="48" t="s">
        <v>60</v>
      </c>
      <c r="C25" s="111">
        <v>0</v>
      </c>
      <c r="D25" s="36">
        <f>H25</f>
        <v>0</v>
      </c>
      <c r="E25" s="89" t="str">
        <f>IF(C25=D25,"-",D25-C25)</f>
        <v>-</v>
      </c>
      <c r="F25" s="90" t="str">
        <f>IF(C25=0,"-",D25/C25)</f>
        <v>-</v>
      </c>
      <c r="H25" s="36">
        <v>0</v>
      </c>
    </row>
    <row r="26" spans="1:8" ht="33" customHeight="1">
      <c r="A26" s="42" t="s">
        <v>138</v>
      </c>
      <c r="B26" s="48" t="s">
        <v>141</v>
      </c>
      <c r="C26" s="111">
        <v>128876</v>
      </c>
      <c r="D26" s="36">
        <f>ROUND('[6]REZERWA NA MIGRACJĘ'!$B$10,0)</f>
        <v>169593</v>
      </c>
      <c r="E26" s="89">
        <f>IF(C26=D26,"-",D26-C26)</f>
        <v>40717</v>
      </c>
      <c r="F26" s="90">
        <f>IF(C26=0,"-",D26/C26)</f>
        <v>1.3159</v>
      </c>
      <c r="H26" s="36">
        <v>152148</v>
      </c>
    </row>
    <row r="27" spans="1:8" ht="33" customHeight="1">
      <c r="A27" s="42" t="s">
        <v>139</v>
      </c>
      <c r="B27" s="48" t="s">
        <v>142</v>
      </c>
      <c r="C27" s="111">
        <v>260</v>
      </c>
      <c r="D27" s="36">
        <f>ROUND(H27-('[6]REZERWA NA MIGRACJĘ'!$M$10-'[7]REZERWA NA MIGRACJĘ'!$M$10),0)</f>
        <v>236</v>
      </c>
      <c r="E27" s="89">
        <f>IF(C27=D27,"-",D27-C27)</f>
        <v>-24</v>
      </c>
      <c r="F27" s="90">
        <f>IF(C27=0,"-",D27/C27)</f>
        <v>0.9077</v>
      </c>
      <c r="H27" s="36">
        <v>260</v>
      </c>
    </row>
    <row r="28" spans="1:6" s="5" customFormat="1" ht="31.5" customHeight="1">
      <c r="A28" s="43" t="s">
        <v>68</v>
      </c>
      <c r="B28" s="49" t="s">
        <v>69</v>
      </c>
      <c r="C28" s="112">
        <v>0</v>
      </c>
      <c r="D28" s="119">
        <f>C28</f>
        <v>0</v>
      </c>
      <c r="E28" s="15" t="str">
        <f t="shared" si="0"/>
        <v>-</v>
      </c>
      <c r="F28" s="120" t="str">
        <f t="shared" si="1"/>
        <v>-</v>
      </c>
    </row>
    <row r="29" spans="1:6" s="5" customFormat="1" ht="31.5" customHeight="1">
      <c r="A29" s="43" t="s">
        <v>67</v>
      </c>
      <c r="B29" s="49" t="s">
        <v>70</v>
      </c>
      <c r="C29" s="112">
        <v>105734</v>
      </c>
      <c r="D29" s="119">
        <f>C29</f>
        <v>105734</v>
      </c>
      <c r="E29" s="15" t="str">
        <f t="shared" si="0"/>
        <v>-</v>
      </c>
      <c r="F29" s="120">
        <f t="shared" si="1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24706</v>
      </c>
      <c r="D30" s="34">
        <f>D31+D32+D33+D41+D42+D48+D49+D50+D47</f>
        <v>24706</v>
      </c>
      <c r="E30" s="13" t="str">
        <f>IF(C30=D30,"-",D30-C30)</f>
        <v>-</v>
      </c>
      <c r="F30" s="91">
        <f t="shared" si="1"/>
        <v>1</v>
      </c>
    </row>
    <row r="31" spans="1:6" ht="28.5" customHeight="1">
      <c r="A31" s="42" t="s">
        <v>19</v>
      </c>
      <c r="B31" s="51" t="s">
        <v>20</v>
      </c>
      <c r="C31" s="94">
        <v>637</v>
      </c>
      <c r="D31" s="35">
        <f>C31</f>
        <v>637</v>
      </c>
      <c r="E31" s="89" t="str">
        <f aca="true" t="shared" si="2" ref="E31:E51">IF(C31=D31,"-",D31-C31)</f>
        <v>-</v>
      </c>
      <c r="F31" s="90">
        <f t="shared" si="1"/>
        <v>1</v>
      </c>
    </row>
    <row r="32" spans="1:6" ht="28.5" customHeight="1">
      <c r="A32" s="42" t="s">
        <v>21</v>
      </c>
      <c r="B32" s="51" t="s">
        <v>22</v>
      </c>
      <c r="C32" s="94">
        <v>2298</v>
      </c>
      <c r="D32" s="35">
        <f>C32</f>
        <v>2298</v>
      </c>
      <c r="E32" s="89" t="str">
        <f t="shared" si="2"/>
        <v>-</v>
      </c>
      <c r="F32" s="90">
        <f t="shared" si="1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206</v>
      </c>
      <c r="D33" s="35">
        <f>D34+D36+D37+D38+D39+D40</f>
        <v>206</v>
      </c>
      <c r="E33" s="89" t="str">
        <f t="shared" si="2"/>
        <v>-</v>
      </c>
      <c r="F33" s="90">
        <f t="shared" si="1"/>
        <v>1</v>
      </c>
    </row>
    <row r="34" spans="1:6" ht="28.5" customHeight="1">
      <c r="A34" s="53" t="s">
        <v>45</v>
      </c>
      <c r="B34" s="54" t="s">
        <v>38</v>
      </c>
      <c r="C34" s="94">
        <v>25</v>
      </c>
      <c r="D34" s="35">
        <f>C34</f>
        <v>25</v>
      </c>
      <c r="E34" s="89" t="str">
        <f t="shared" si="2"/>
        <v>-</v>
      </c>
      <c r="F34" s="90">
        <f t="shared" si="1"/>
        <v>1</v>
      </c>
    </row>
    <row r="35" spans="1:6" ht="28.5" customHeight="1">
      <c r="A35" s="53" t="s">
        <v>46</v>
      </c>
      <c r="B35" s="55" t="s">
        <v>39</v>
      </c>
      <c r="C35" s="94">
        <v>25</v>
      </c>
      <c r="D35" s="35">
        <f aca="true" t="shared" si="3" ref="D35:D47">C35</f>
        <v>25</v>
      </c>
      <c r="E35" s="89" t="str">
        <f t="shared" si="2"/>
        <v>-</v>
      </c>
      <c r="F35" s="90">
        <f t="shared" si="1"/>
        <v>1</v>
      </c>
    </row>
    <row r="36" spans="1:6" ht="28.5" customHeight="1">
      <c r="A36" s="53" t="s">
        <v>47</v>
      </c>
      <c r="B36" s="54" t="s">
        <v>40</v>
      </c>
      <c r="C36" s="94">
        <v>0</v>
      </c>
      <c r="D36" s="35">
        <f t="shared" si="3"/>
        <v>0</v>
      </c>
      <c r="E36" s="89" t="str">
        <f t="shared" si="2"/>
        <v>-</v>
      </c>
      <c r="F36" s="90" t="str">
        <f t="shared" si="1"/>
        <v>-</v>
      </c>
    </row>
    <row r="37" spans="1:6" ht="28.5" customHeight="1">
      <c r="A37" s="53" t="s">
        <v>48</v>
      </c>
      <c r="B37" s="54" t="s">
        <v>41</v>
      </c>
      <c r="C37" s="94">
        <v>0</v>
      </c>
      <c r="D37" s="35">
        <f t="shared" si="3"/>
        <v>0</v>
      </c>
      <c r="E37" s="89" t="str">
        <f t="shared" si="2"/>
        <v>-</v>
      </c>
      <c r="F37" s="90" t="str">
        <f t="shared" si="1"/>
        <v>-</v>
      </c>
    </row>
    <row r="38" spans="1:6" ht="28.5" customHeight="1">
      <c r="A38" s="53" t="s">
        <v>49</v>
      </c>
      <c r="B38" s="54" t="s">
        <v>42</v>
      </c>
      <c r="C38" s="94">
        <v>0</v>
      </c>
      <c r="D38" s="35">
        <f t="shared" si="3"/>
        <v>0</v>
      </c>
      <c r="E38" s="89" t="str">
        <f t="shared" si="2"/>
        <v>-</v>
      </c>
      <c r="F38" s="90" t="str">
        <f t="shared" si="1"/>
        <v>-</v>
      </c>
    </row>
    <row r="39" spans="1:6" ht="28.5" customHeight="1">
      <c r="A39" s="53" t="s">
        <v>50</v>
      </c>
      <c r="B39" s="54" t="s">
        <v>43</v>
      </c>
      <c r="C39" s="94">
        <v>173</v>
      </c>
      <c r="D39" s="35">
        <f>C39</f>
        <v>173</v>
      </c>
      <c r="E39" s="89" t="str">
        <f t="shared" si="2"/>
        <v>-</v>
      </c>
      <c r="F39" s="90">
        <f t="shared" si="1"/>
        <v>1</v>
      </c>
    </row>
    <row r="40" spans="1:6" ht="28.5" customHeight="1">
      <c r="A40" s="53" t="s">
        <v>51</v>
      </c>
      <c r="B40" s="54" t="s">
        <v>44</v>
      </c>
      <c r="C40" s="94">
        <v>8</v>
      </c>
      <c r="D40" s="35">
        <f t="shared" si="3"/>
        <v>8</v>
      </c>
      <c r="E40" s="89" t="str">
        <f t="shared" si="2"/>
        <v>-</v>
      </c>
      <c r="F40" s="90">
        <f t="shared" si="1"/>
        <v>1</v>
      </c>
    </row>
    <row r="41" spans="1:6" ht="28.5" customHeight="1">
      <c r="A41" s="42" t="s">
        <v>24</v>
      </c>
      <c r="B41" s="51" t="s">
        <v>25</v>
      </c>
      <c r="C41" s="35">
        <v>14274</v>
      </c>
      <c r="D41" s="35">
        <f t="shared" si="3"/>
        <v>14274</v>
      </c>
      <c r="E41" s="89" t="str">
        <f t="shared" si="2"/>
        <v>-</v>
      </c>
      <c r="F41" s="90">
        <f t="shared" si="1"/>
        <v>1</v>
      </c>
    </row>
    <row r="42" spans="1:6" ht="28.5" customHeight="1">
      <c r="A42" s="42" t="s">
        <v>26</v>
      </c>
      <c r="B42" s="52" t="s">
        <v>61</v>
      </c>
      <c r="C42" s="110">
        <f>C43+C44+C45+C46</f>
        <v>2879</v>
      </c>
      <c r="D42" s="35">
        <f>SUM(D43:D46)</f>
        <v>2879</v>
      </c>
      <c r="E42" s="89" t="str">
        <f t="shared" si="2"/>
        <v>-</v>
      </c>
      <c r="F42" s="90">
        <f t="shared" si="1"/>
        <v>1</v>
      </c>
    </row>
    <row r="43" spans="1:6" ht="28.5" customHeight="1">
      <c r="A43" s="53" t="s">
        <v>56</v>
      </c>
      <c r="B43" s="54" t="s">
        <v>52</v>
      </c>
      <c r="C43" s="35">
        <v>2168</v>
      </c>
      <c r="D43" s="35">
        <f>C43</f>
        <v>2168</v>
      </c>
      <c r="E43" s="89" t="str">
        <f t="shared" si="2"/>
        <v>-</v>
      </c>
      <c r="F43" s="90">
        <f t="shared" si="1"/>
        <v>1</v>
      </c>
    </row>
    <row r="44" spans="1:6" ht="28.5" customHeight="1">
      <c r="A44" s="53" t="s">
        <v>57</v>
      </c>
      <c r="B44" s="54" t="s">
        <v>53</v>
      </c>
      <c r="C44" s="35">
        <v>350</v>
      </c>
      <c r="D44" s="35">
        <f>C44</f>
        <v>350</v>
      </c>
      <c r="E44" s="89" t="str">
        <f t="shared" si="2"/>
        <v>-</v>
      </c>
      <c r="F44" s="90">
        <f t="shared" si="1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3"/>
        <v>0</v>
      </c>
      <c r="E45" s="89" t="str">
        <f t="shared" si="2"/>
        <v>-</v>
      </c>
      <c r="F45" s="90" t="str">
        <f t="shared" si="1"/>
        <v>-</v>
      </c>
    </row>
    <row r="46" spans="1:6" ht="28.5" customHeight="1">
      <c r="A46" s="53" t="s">
        <v>59</v>
      </c>
      <c r="B46" s="54" t="s">
        <v>55</v>
      </c>
      <c r="C46" s="35">
        <v>361</v>
      </c>
      <c r="D46" s="35">
        <f>C46</f>
        <v>361</v>
      </c>
      <c r="E46" s="89" t="str">
        <f t="shared" si="2"/>
        <v>-</v>
      </c>
      <c r="F46" s="90">
        <f t="shared" si="1"/>
        <v>1</v>
      </c>
    </row>
    <row r="47" spans="1:6" ht="28.5" customHeight="1">
      <c r="A47" s="42" t="s">
        <v>27</v>
      </c>
      <c r="B47" s="51" t="s">
        <v>28</v>
      </c>
      <c r="C47" s="94"/>
      <c r="D47" s="35">
        <f t="shared" si="3"/>
        <v>0</v>
      </c>
      <c r="E47" s="89" t="str">
        <f t="shared" si="2"/>
        <v>-</v>
      </c>
      <c r="F47" s="90" t="str">
        <f aca="true" t="shared" si="4" ref="F47:F55">IF(C47=0,"-",D47/C47)</f>
        <v>-</v>
      </c>
    </row>
    <row r="48" spans="1:6" ht="48" customHeight="1">
      <c r="A48" s="42" t="s">
        <v>29</v>
      </c>
      <c r="B48" s="51" t="s">
        <v>116</v>
      </c>
      <c r="C48" s="111">
        <v>3814</v>
      </c>
      <c r="D48" s="35">
        <f>C48</f>
        <v>3814</v>
      </c>
      <c r="E48" s="89" t="str">
        <f t="shared" si="2"/>
        <v>-</v>
      </c>
      <c r="F48" s="92">
        <f t="shared" si="4"/>
        <v>1</v>
      </c>
    </row>
    <row r="49" spans="1:6" ht="43.5" customHeight="1">
      <c r="A49" s="42" t="s">
        <v>30</v>
      </c>
      <c r="B49" s="51" t="s">
        <v>31</v>
      </c>
      <c r="C49" s="111">
        <v>298</v>
      </c>
      <c r="D49" s="35">
        <f>C49</f>
        <v>298</v>
      </c>
      <c r="E49" s="89" t="str">
        <f t="shared" si="2"/>
        <v>-</v>
      </c>
      <c r="F49" s="92">
        <f t="shared" si="4"/>
        <v>1</v>
      </c>
    </row>
    <row r="50" spans="1:6" ht="35.25" customHeight="1">
      <c r="A50" s="42" t="s">
        <v>32</v>
      </c>
      <c r="B50" s="51" t="s">
        <v>33</v>
      </c>
      <c r="C50" s="94">
        <v>300</v>
      </c>
      <c r="D50" s="35">
        <f>C50</f>
        <v>300</v>
      </c>
      <c r="E50" s="89" t="str">
        <f t="shared" si="2"/>
        <v>-</v>
      </c>
      <c r="F50" s="90">
        <f t="shared" si="4"/>
        <v>1</v>
      </c>
    </row>
    <row r="51" spans="1:6" s="3" customFormat="1" ht="30" customHeight="1">
      <c r="A51" s="44" t="s">
        <v>34</v>
      </c>
      <c r="B51" s="56" t="s">
        <v>175</v>
      </c>
      <c r="C51" s="38">
        <f>SUM(C52:C55)</f>
        <v>12632</v>
      </c>
      <c r="D51" s="38">
        <f>SUM(D52:D55)</f>
        <v>12632</v>
      </c>
      <c r="E51" s="13" t="str">
        <f t="shared" si="2"/>
        <v>-</v>
      </c>
      <c r="F51" s="93">
        <f t="shared" si="4"/>
        <v>1</v>
      </c>
    </row>
    <row r="52" spans="1:6" ht="42" customHeight="1">
      <c r="A52" s="42" t="s">
        <v>119</v>
      </c>
      <c r="B52" s="51" t="s">
        <v>144</v>
      </c>
      <c r="C52" s="94">
        <v>51</v>
      </c>
      <c r="D52" s="35">
        <f>C52</f>
        <v>51</v>
      </c>
      <c r="E52" s="94" t="str">
        <f>IF(C52=D52,"-",D52-C52)</f>
        <v>-</v>
      </c>
      <c r="F52" s="100">
        <f t="shared" si="4"/>
        <v>1</v>
      </c>
    </row>
    <row r="53" spans="1:6" ht="31.5" customHeight="1">
      <c r="A53" s="42" t="s">
        <v>35</v>
      </c>
      <c r="B53" s="51" t="s">
        <v>63</v>
      </c>
      <c r="C53" s="94">
        <v>11837</v>
      </c>
      <c r="D53" s="35">
        <f>C53</f>
        <v>11837</v>
      </c>
      <c r="E53" s="94" t="str">
        <f>IF(C53=D53,"-",D53-C53)</f>
        <v>-</v>
      </c>
      <c r="F53" s="100">
        <f t="shared" si="4"/>
        <v>1</v>
      </c>
    </row>
    <row r="54" spans="1:6" ht="31.5" customHeight="1">
      <c r="A54" s="42" t="s">
        <v>36</v>
      </c>
      <c r="B54" s="51" t="s">
        <v>121</v>
      </c>
      <c r="C54" s="94">
        <v>0</v>
      </c>
      <c r="D54" s="35">
        <f>C54</f>
        <v>0</v>
      </c>
      <c r="E54" s="94" t="str">
        <f>IF(C54=D54,"-",D54-C54)</f>
        <v>-</v>
      </c>
      <c r="F54" s="100" t="str">
        <f t="shared" si="4"/>
        <v>-</v>
      </c>
    </row>
    <row r="55" spans="1:6" ht="31.5" customHeight="1">
      <c r="A55" s="42" t="s">
        <v>120</v>
      </c>
      <c r="B55" s="51" t="s">
        <v>122</v>
      </c>
      <c r="C55" s="94">
        <v>744</v>
      </c>
      <c r="D55" s="35">
        <f>C55</f>
        <v>744</v>
      </c>
      <c r="E55" s="94" t="str">
        <f>IF(C55=D55,"-",D55-C55)</f>
        <v>-</v>
      </c>
      <c r="F55" s="100">
        <f t="shared" si="4"/>
        <v>1</v>
      </c>
    </row>
    <row r="56" spans="1:6" ht="32.25" customHeight="1">
      <c r="A56" s="44" t="s">
        <v>127</v>
      </c>
      <c r="B56" s="56" t="s">
        <v>155</v>
      </c>
      <c r="C56" s="113">
        <v>10800</v>
      </c>
      <c r="D56" s="38">
        <f>C56</f>
        <v>10800</v>
      </c>
      <c r="E56" s="13" t="str">
        <f>IF(C56=D56,"-",D56-C56)</f>
        <v>-</v>
      </c>
      <c r="F56" s="93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G1" sqref="G1:AA16384"/>
      <selection pane="topRight" activeCell="G1" sqref="G1:AA16384"/>
      <selection pane="bottomLeft" activeCell="G1" sqref="G1:AA16384"/>
      <selection pane="bottomRight" activeCell="G1" sqref="G1:AA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7" width="0" style="2" hidden="1" customWidth="1"/>
    <col min="8" max="8" width="21.75390625" style="2" hidden="1" customWidth="1"/>
    <col min="9" max="9" width="15.125" style="2" hidden="1" customWidth="1"/>
    <col min="10" max="27" width="0" style="2" hidden="1" customWidth="1"/>
    <col min="28" max="16384" width="9.125" style="2" customWidth="1"/>
  </cols>
  <sheetData>
    <row r="1" spans="1:6" s="59" customFormat="1" ht="38.25" customHeight="1">
      <c r="A1" s="129" t="str">
        <f>NFZ!A1</f>
        <v>ZMIANA PLANU FINANSOWEGO NARODOWEGO FUNDUSZU ZDROWIA NA 2010 ROK Z 16 GRUDNIA 2009 ROKU</v>
      </c>
      <c r="B1" s="129"/>
      <c r="C1" s="129"/>
      <c r="D1" s="129"/>
      <c r="E1" s="129"/>
      <c r="F1" s="129"/>
    </row>
    <row r="2" spans="1:3" s="61" customFormat="1" ht="33" customHeight="1">
      <c r="A2" s="130" t="s">
        <v>74</v>
      </c>
      <c r="B2" s="130"/>
      <c r="C2" s="130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2" t="s">
        <v>165</v>
      </c>
      <c r="B4" s="131" t="s">
        <v>62</v>
      </c>
      <c r="C4" s="127" t="s">
        <v>202</v>
      </c>
      <c r="D4" s="124" t="s">
        <v>159</v>
      </c>
      <c r="E4" s="126" t="s">
        <v>164</v>
      </c>
      <c r="F4" s="126" t="s">
        <v>163</v>
      </c>
    </row>
    <row r="5" spans="1:6" s="6" customFormat="1" ht="33" customHeight="1">
      <c r="A5" s="131"/>
      <c r="B5" s="131"/>
      <c r="C5" s="128"/>
      <c r="D5" s="125"/>
      <c r="E5" s="126"/>
      <c r="F5" s="126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9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1350157</v>
      </c>
      <c r="D7" s="16">
        <f>D8+D9+D10+D12+D13+D14+D15+D16+D17+D18+D19+D20+D21+D22+D24+D25+D26+D27</f>
        <v>1352903</v>
      </c>
      <c r="E7" s="13">
        <f>IF(C7=D7,"-",D7-C7)</f>
        <v>2746</v>
      </c>
      <c r="F7" s="88">
        <f>IF(C7=0,"-",D7/C7)</f>
        <v>1.002</v>
      </c>
      <c r="H7" s="16">
        <v>1352903</v>
      </c>
      <c r="I7" s="16">
        <f>D7-H7</f>
        <v>0</v>
      </c>
    </row>
    <row r="8" spans="1:9" ht="31.5" customHeight="1">
      <c r="A8" s="40" t="s">
        <v>1</v>
      </c>
      <c r="B8" s="102" t="s">
        <v>166</v>
      </c>
      <c r="C8" s="111">
        <v>192000</v>
      </c>
      <c r="D8" s="36">
        <f>H8</f>
        <v>182000</v>
      </c>
      <c r="E8" s="89">
        <f aca="true" t="shared" si="0" ref="E8:E29">IF(C8=D8,"-",D8-C8)</f>
        <v>-10000</v>
      </c>
      <c r="F8" s="90">
        <f aca="true" t="shared" si="1" ref="F8:F46">IF(C8=0,"-",D8/C8)</f>
        <v>0.9479</v>
      </c>
      <c r="H8" s="36">
        <v>182000</v>
      </c>
      <c r="I8" s="106">
        <f>H8-D8</f>
        <v>0</v>
      </c>
    </row>
    <row r="9" spans="1:9" ht="31.5" customHeight="1">
      <c r="A9" s="40" t="s">
        <v>2</v>
      </c>
      <c r="B9" s="102" t="s">
        <v>167</v>
      </c>
      <c r="C9" s="111">
        <v>100000</v>
      </c>
      <c r="D9" s="36">
        <f>ROUND(H9-('[6]REZERWA NA MIGRACJĘ'!$C$11-'[7]REZERWA NA MIGRACJĘ'!$C$11),0)</f>
        <v>89858</v>
      </c>
      <c r="E9" s="89">
        <f t="shared" si="0"/>
        <v>-10142</v>
      </c>
      <c r="F9" s="90">
        <f t="shared" si="1"/>
        <v>0.8986</v>
      </c>
      <c r="H9" s="36">
        <v>90000</v>
      </c>
      <c r="I9" s="106">
        <f aca="true" t="shared" si="2" ref="I9:I27">H9-D9</f>
        <v>142</v>
      </c>
    </row>
    <row r="10" spans="1:9" ht="31.5" customHeight="1">
      <c r="A10" s="40" t="s">
        <v>3</v>
      </c>
      <c r="B10" s="102" t="s">
        <v>158</v>
      </c>
      <c r="C10" s="111">
        <v>476317</v>
      </c>
      <c r="D10" s="36">
        <f>ROUND(H10-('[6]REZERWA NA MIGRACJĘ'!$D$11-'[7]REZERWA NA MIGRACJĘ'!$D$11),0)+2</f>
        <v>508556</v>
      </c>
      <c r="E10" s="89">
        <f t="shared" si="0"/>
        <v>32239</v>
      </c>
      <c r="F10" s="90">
        <f t="shared" si="1"/>
        <v>1.0677</v>
      </c>
      <c r="H10" s="36">
        <v>510915</v>
      </c>
      <c r="I10" s="106">
        <f t="shared" si="2"/>
        <v>2359</v>
      </c>
    </row>
    <row r="11" spans="1:9" ht="31.5" customHeight="1">
      <c r="A11" s="103" t="s">
        <v>64</v>
      </c>
      <c r="B11" s="45" t="s">
        <v>65</v>
      </c>
      <c r="C11" s="111">
        <v>24000</v>
      </c>
      <c r="D11" s="36">
        <f>ROUND(H11-('[6]REZERWA NA MIGRACJĘ'!$E$11-'[7]REZERWA NA MIGRACJĘ'!$E$11),0)</f>
        <v>23102</v>
      </c>
      <c r="E11" s="89">
        <f t="shared" si="0"/>
        <v>-898</v>
      </c>
      <c r="F11" s="90">
        <f t="shared" si="1"/>
        <v>0.9626</v>
      </c>
      <c r="H11" s="36">
        <v>23000</v>
      </c>
      <c r="I11" s="106">
        <f t="shared" si="2"/>
        <v>-102</v>
      </c>
    </row>
    <row r="12" spans="1:9" ht="31.5" customHeight="1">
      <c r="A12" s="40" t="s">
        <v>4</v>
      </c>
      <c r="B12" s="102" t="s">
        <v>173</v>
      </c>
      <c r="C12" s="111">
        <v>85000</v>
      </c>
      <c r="D12" s="36">
        <f>ROUND(H12-('[6]REZERWA NA MIGRACJĘ'!$F$11-'[7]REZERWA NA MIGRACJĘ'!$F$11),0)</f>
        <v>75319</v>
      </c>
      <c r="E12" s="89">
        <f t="shared" si="0"/>
        <v>-9681</v>
      </c>
      <c r="F12" s="90">
        <f t="shared" si="1"/>
        <v>0.8861</v>
      </c>
      <c r="H12" s="36">
        <v>75500</v>
      </c>
      <c r="I12" s="106">
        <f t="shared" si="2"/>
        <v>181</v>
      </c>
    </row>
    <row r="13" spans="1:9" ht="31.5" customHeight="1">
      <c r="A13" s="40" t="s">
        <v>5</v>
      </c>
      <c r="B13" s="102" t="s">
        <v>168</v>
      </c>
      <c r="C13" s="111">
        <v>42000</v>
      </c>
      <c r="D13" s="36">
        <f>ROUND(H13-('[6]REZERWA NA MIGRACJĘ'!$G$11-'[7]REZERWA NA MIGRACJĘ'!$G$11),0)</f>
        <v>37997</v>
      </c>
      <c r="E13" s="89">
        <f t="shared" si="0"/>
        <v>-4003</v>
      </c>
      <c r="F13" s="90">
        <f t="shared" si="1"/>
        <v>0.9047</v>
      </c>
      <c r="H13" s="36">
        <v>38000</v>
      </c>
      <c r="I13" s="106">
        <f t="shared" si="2"/>
        <v>3</v>
      </c>
    </row>
    <row r="14" spans="1:9" ht="31.5" customHeight="1">
      <c r="A14" s="40" t="s">
        <v>6</v>
      </c>
      <c r="B14" s="102" t="s">
        <v>177</v>
      </c>
      <c r="C14" s="111">
        <v>17000</v>
      </c>
      <c r="D14" s="36">
        <f>ROUND(H14-('[6]REZERWA NA MIGRACJĘ'!$H$11-'[7]REZERWA NA MIGRACJĘ'!$H$11),0)</f>
        <v>16918</v>
      </c>
      <c r="E14" s="89">
        <f t="shared" si="0"/>
        <v>-82</v>
      </c>
      <c r="F14" s="90">
        <f t="shared" si="1"/>
        <v>0.9952</v>
      </c>
      <c r="H14" s="36">
        <v>17000</v>
      </c>
      <c r="I14" s="106">
        <f t="shared" si="2"/>
        <v>82</v>
      </c>
    </row>
    <row r="15" spans="1:9" ht="31.5" customHeight="1">
      <c r="A15" s="40" t="s">
        <v>7</v>
      </c>
      <c r="B15" s="102" t="s">
        <v>176</v>
      </c>
      <c r="C15" s="111">
        <v>7000</v>
      </c>
      <c r="D15" s="36">
        <f>ROUND(H15-('[6]REZERWA NA MIGRACJĘ'!$I$11-'[7]REZERWA NA MIGRACJĘ'!$I$11),0)</f>
        <v>7004</v>
      </c>
      <c r="E15" s="89">
        <f>IF(C15=D15,"-",D15-C15)</f>
        <v>4</v>
      </c>
      <c r="F15" s="90">
        <f>IF(C15=0,"-",D15/C15)</f>
        <v>1.0006</v>
      </c>
      <c r="H15" s="36">
        <v>7000</v>
      </c>
      <c r="I15" s="106">
        <f t="shared" si="2"/>
        <v>-4</v>
      </c>
    </row>
    <row r="16" spans="1:9" ht="31.5" customHeight="1">
      <c r="A16" s="40" t="s">
        <v>8</v>
      </c>
      <c r="B16" s="102" t="s">
        <v>169</v>
      </c>
      <c r="C16" s="111">
        <v>42000</v>
      </c>
      <c r="D16" s="36">
        <f>ROUND(H16-('[6]REZERWA NA MIGRACJĘ'!$J11-'[7]REZERWA NA MIGRACJĘ'!$J$11),0)</f>
        <v>38949</v>
      </c>
      <c r="E16" s="89">
        <f t="shared" si="0"/>
        <v>-3051</v>
      </c>
      <c r="F16" s="90">
        <f t="shared" si="1"/>
        <v>0.9274</v>
      </c>
      <c r="H16" s="36">
        <v>39000</v>
      </c>
      <c r="I16" s="106">
        <f t="shared" si="2"/>
        <v>51</v>
      </c>
    </row>
    <row r="17" spans="1:9" ht="31.5" customHeight="1">
      <c r="A17" s="40" t="s">
        <v>9</v>
      </c>
      <c r="B17" s="102" t="s">
        <v>170</v>
      </c>
      <c r="C17" s="111">
        <v>13000</v>
      </c>
      <c r="D17" s="36">
        <f>ROUND(H17,0)</f>
        <v>11000</v>
      </c>
      <c r="E17" s="89">
        <f t="shared" si="0"/>
        <v>-2000</v>
      </c>
      <c r="F17" s="90">
        <f t="shared" si="1"/>
        <v>0.8462</v>
      </c>
      <c r="H17" s="36">
        <v>11000</v>
      </c>
      <c r="I17" s="106">
        <f t="shared" si="2"/>
        <v>0</v>
      </c>
    </row>
    <row r="18" spans="1:9" ht="31.5" customHeight="1">
      <c r="A18" s="40" t="s">
        <v>10</v>
      </c>
      <c r="B18" s="102" t="s">
        <v>178</v>
      </c>
      <c r="C18" s="111">
        <v>2800</v>
      </c>
      <c r="D18" s="36">
        <f>ROUND(H18,0)</f>
        <v>2800</v>
      </c>
      <c r="E18" s="89" t="str">
        <f t="shared" si="0"/>
        <v>-</v>
      </c>
      <c r="F18" s="90">
        <f t="shared" si="1"/>
        <v>1</v>
      </c>
      <c r="H18" s="36">
        <v>2800</v>
      </c>
      <c r="I18" s="106">
        <f t="shared" si="2"/>
        <v>0</v>
      </c>
    </row>
    <row r="19" spans="1:9" ht="46.5" customHeight="1">
      <c r="A19" s="40" t="s">
        <v>11</v>
      </c>
      <c r="B19" s="102" t="s">
        <v>171</v>
      </c>
      <c r="C19" s="111">
        <v>4000</v>
      </c>
      <c r="D19" s="36">
        <f>ROUND(H19-('[6]REZERWA NA MIGRACJĘ'!$K$11-'[7]REZERWA NA MIGRACJĘ'!$K$11),0)</f>
        <v>4001</v>
      </c>
      <c r="E19" s="89">
        <f t="shared" si="0"/>
        <v>1</v>
      </c>
      <c r="F19" s="90">
        <f t="shared" si="1"/>
        <v>1.0003</v>
      </c>
      <c r="H19" s="36">
        <v>4000</v>
      </c>
      <c r="I19" s="106">
        <f t="shared" si="2"/>
        <v>-1</v>
      </c>
    </row>
    <row r="20" spans="1:9" ht="31.5" customHeight="1">
      <c r="A20" s="40" t="s">
        <v>12</v>
      </c>
      <c r="B20" s="102" t="s">
        <v>172</v>
      </c>
      <c r="C20" s="111">
        <v>30000</v>
      </c>
      <c r="D20" s="36">
        <f>ROUND(H20-('[6]REZERWA NA MIGRACJĘ'!$L$11-'[7]REZERWA NA MIGRACJĘ'!$L$11),0)</f>
        <v>29221</v>
      </c>
      <c r="E20" s="89">
        <f t="shared" si="0"/>
        <v>-779</v>
      </c>
      <c r="F20" s="90">
        <f t="shared" si="1"/>
        <v>0.974</v>
      </c>
      <c r="H20" s="36">
        <v>29500</v>
      </c>
      <c r="I20" s="106">
        <f t="shared" si="2"/>
        <v>279</v>
      </c>
    </row>
    <row r="21" spans="1:9" ht="31.5" customHeight="1">
      <c r="A21" s="40" t="s">
        <v>14</v>
      </c>
      <c r="B21" s="46" t="s">
        <v>13</v>
      </c>
      <c r="C21" s="111">
        <v>17000</v>
      </c>
      <c r="D21" s="36">
        <f>H21</f>
        <v>14500</v>
      </c>
      <c r="E21" s="89">
        <f t="shared" si="0"/>
        <v>-2500</v>
      </c>
      <c r="F21" s="90">
        <f t="shared" si="1"/>
        <v>0.8529</v>
      </c>
      <c r="H21" s="36">
        <v>14500</v>
      </c>
      <c r="I21" s="106">
        <f t="shared" si="2"/>
        <v>0</v>
      </c>
    </row>
    <row r="22" spans="1:9" ht="31.5" customHeight="1">
      <c r="A22" s="41" t="s">
        <v>15</v>
      </c>
      <c r="B22" s="102" t="s">
        <v>174</v>
      </c>
      <c r="C22" s="111">
        <v>200174</v>
      </c>
      <c r="D22" s="36">
        <f>H22</f>
        <v>200174</v>
      </c>
      <c r="E22" s="89" t="str">
        <f t="shared" si="0"/>
        <v>-</v>
      </c>
      <c r="F22" s="90">
        <f t="shared" si="1"/>
        <v>1</v>
      </c>
      <c r="H22" s="36">
        <v>200174</v>
      </c>
      <c r="I22" s="106">
        <f t="shared" si="2"/>
        <v>0</v>
      </c>
    </row>
    <row r="23" spans="1:9" ht="31.5" customHeight="1">
      <c r="A23" s="39" t="s">
        <v>179</v>
      </c>
      <c r="B23" s="45" t="s">
        <v>66</v>
      </c>
      <c r="C23" s="111">
        <v>400</v>
      </c>
      <c r="D23" s="36">
        <f>H23</f>
        <v>400</v>
      </c>
      <c r="E23" s="89" t="str">
        <f t="shared" si="0"/>
        <v>-</v>
      </c>
      <c r="F23" s="90">
        <f t="shared" si="1"/>
        <v>1</v>
      </c>
      <c r="H23" s="36">
        <v>400</v>
      </c>
      <c r="I23" s="106">
        <f t="shared" si="2"/>
        <v>0</v>
      </c>
    </row>
    <row r="24" spans="1:9" ht="33" customHeight="1">
      <c r="A24" s="42" t="s">
        <v>16</v>
      </c>
      <c r="B24" s="47" t="s">
        <v>140</v>
      </c>
      <c r="C24" s="111">
        <v>0</v>
      </c>
      <c r="D24" s="36">
        <f>H24</f>
        <v>0</v>
      </c>
      <c r="E24" s="89" t="str">
        <f>IF(C24=D24,"-",D24-C24)</f>
        <v>-</v>
      </c>
      <c r="F24" s="90" t="str">
        <f>IF(C24=0,"-",D24/C24)</f>
        <v>-</v>
      </c>
      <c r="H24" s="36">
        <v>0</v>
      </c>
      <c r="I24" s="106">
        <f t="shared" si="2"/>
        <v>0</v>
      </c>
    </row>
    <row r="25" spans="1:9" ht="33" customHeight="1">
      <c r="A25" s="42" t="s">
        <v>137</v>
      </c>
      <c r="B25" s="48" t="s">
        <v>60</v>
      </c>
      <c r="C25" s="111">
        <v>0</v>
      </c>
      <c r="D25" s="36">
        <f>H25</f>
        <v>0</v>
      </c>
      <c r="E25" s="89" t="str">
        <f>IF(C25=D25,"-",D25-C25)</f>
        <v>-</v>
      </c>
      <c r="F25" s="90" t="str">
        <f>IF(C25=0,"-",D25/C25)</f>
        <v>-</v>
      </c>
      <c r="H25" s="36">
        <v>0</v>
      </c>
      <c r="I25" s="106">
        <f t="shared" si="2"/>
        <v>0</v>
      </c>
    </row>
    <row r="26" spans="1:9" ht="33" customHeight="1">
      <c r="A26" s="42" t="s">
        <v>138</v>
      </c>
      <c r="B26" s="48" t="s">
        <v>141</v>
      </c>
      <c r="C26" s="111">
        <v>120866</v>
      </c>
      <c r="D26" s="36">
        <f>ROUND('[6]REZERWA NA MIGRACJĘ'!$B$11,0)</f>
        <v>133902</v>
      </c>
      <c r="E26" s="89">
        <f>IF(C26=D26,"-",D26-C26)</f>
        <v>13036</v>
      </c>
      <c r="F26" s="90">
        <f>IF(C26=0,"-",D26/C26)</f>
        <v>1.1079</v>
      </c>
      <c r="H26" s="36">
        <v>130514</v>
      </c>
      <c r="I26" s="106">
        <f t="shared" si="2"/>
        <v>-3388</v>
      </c>
    </row>
    <row r="27" spans="1:9" ht="33" customHeight="1">
      <c r="A27" s="42" t="s">
        <v>139</v>
      </c>
      <c r="B27" s="48" t="s">
        <v>142</v>
      </c>
      <c r="C27" s="111">
        <v>1000</v>
      </c>
      <c r="D27" s="36">
        <f>ROUND(H27-('[6]REZERWA NA MIGRACJĘ'!$M$11-'[7]REZERWA NA MIGRACJĘ'!$M$11),0)</f>
        <v>704</v>
      </c>
      <c r="E27" s="89">
        <f>IF(C27=D27,"-",D27-C27)</f>
        <v>-296</v>
      </c>
      <c r="F27" s="90">
        <f>IF(C27=0,"-",D27/C27)</f>
        <v>0.704</v>
      </c>
      <c r="H27" s="36">
        <v>1000</v>
      </c>
      <c r="I27" s="106">
        <f t="shared" si="2"/>
        <v>296</v>
      </c>
    </row>
    <row r="28" spans="1:6" s="5" customFormat="1" ht="31.5" customHeight="1">
      <c r="A28" s="43" t="s">
        <v>68</v>
      </c>
      <c r="B28" s="49" t="s">
        <v>69</v>
      </c>
      <c r="C28" s="112">
        <v>0</v>
      </c>
      <c r="D28" s="119">
        <f>C28</f>
        <v>0</v>
      </c>
      <c r="E28" s="15" t="str">
        <f t="shared" si="0"/>
        <v>-</v>
      </c>
      <c r="F28" s="120" t="str">
        <f t="shared" si="1"/>
        <v>-</v>
      </c>
    </row>
    <row r="29" spans="1:6" s="5" customFormat="1" ht="31.5" customHeight="1">
      <c r="A29" s="43" t="s">
        <v>67</v>
      </c>
      <c r="B29" s="49" t="s">
        <v>70</v>
      </c>
      <c r="C29" s="112">
        <v>61433</v>
      </c>
      <c r="D29" s="119">
        <f>C29</f>
        <v>61433</v>
      </c>
      <c r="E29" s="15" t="str">
        <f t="shared" si="0"/>
        <v>-</v>
      </c>
      <c r="F29" s="120">
        <f t="shared" si="1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15976</v>
      </c>
      <c r="D30" s="34">
        <f>D31+D32+D33+D41+D42+D48+D49+D50+D47</f>
        <v>15976</v>
      </c>
      <c r="E30" s="13" t="str">
        <f>IF(C30=D30,"-",D30-C30)</f>
        <v>-</v>
      </c>
      <c r="F30" s="91">
        <f t="shared" si="1"/>
        <v>1</v>
      </c>
    </row>
    <row r="31" spans="1:6" ht="28.5" customHeight="1">
      <c r="A31" s="42" t="s">
        <v>19</v>
      </c>
      <c r="B31" s="51" t="s">
        <v>20</v>
      </c>
      <c r="C31" s="94">
        <v>607</v>
      </c>
      <c r="D31" s="35">
        <f>C31</f>
        <v>607</v>
      </c>
      <c r="E31" s="89" t="str">
        <f aca="true" t="shared" si="3" ref="E31:E51">IF(C31=D31,"-",D31-C31)</f>
        <v>-</v>
      </c>
      <c r="F31" s="90">
        <f t="shared" si="1"/>
        <v>1</v>
      </c>
    </row>
    <row r="32" spans="1:6" ht="28.5" customHeight="1">
      <c r="A32" s="42" t="s">
        <v>21</v>
      </c>
      <c r="B32" s="51" t="s">
        <v>22</v>
      </c>
      <c r="C32" s="94">
        <v>1767</v>
      </c>
      <c r="D32" s="35">
        <f aca="true" t="shared" si="4" ref="D32:D49">C32</f>
        <v>1767</v>
      </c>
      <c r="E32" s="89" t="str">
        <f t="shared" si="3"/>
        <v>-</v>
      </c>
      <c r="F32" s="90">
        <f t="shared" si="1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124</v>
      </c>
      <c r="D33" s="35">
        <f t="shared" si="4"/>
        <v>124</v>
      </c>
      <c r="E33" s="89" t="str">
        <f t="shared" si="3"/>
        <v>-</v>
      </c>
      <c r="F33" s="90">
        <f t="shared" si="1"/>
        <v>1</v>
      </c>
    </row>
    <row r="34" spans="1:6" ht="28.5" customHeight="1">
      <c r="A34" s="53" t="s">
        <v>45</v>
      </c>
      <c r="B34" s="54" t="s">
        <v>38</v>
      </c>
      <c r="C34" s="94">
        <v>26</v>
      </c>
      <c r="D34" s="35">
        <f t="shared" si="4"/>
        <v>26</v>
      </c>
      <c r="E34" s="89" t="str">
        <f t="shared" si="3"/>
        <v>-</v>
      </c>
      <c r="F34" s="90">
        <f t="shared" si="1"/>
        <v>1</v>
      </c>
    </row>
    <row r="35" spans="1:6" ht="28.5" customHeight="1">
      <c r="A35" s="53" t="s">
        <v>46</v>
      </c>
      <c r="B35" s="55" t="s">
        <v>39</v>
      </c>
      <c r="C35" s="94">
        <v>26</v>
      </c>
      <c r="D35" s="35">
        <f t="shared" si="4"/>
        <v>26</v>
      </c>
      <c r="E35" s="89" t="str">
        <f t="shared" si="3"/>
        <v>-</v>
      </c>
      <c r="F35" s="90">
        <f t="shared" si="1"/>
        <v>1</v>
      </c>
    </row>
    <row r="36" spans="1:6" ht="28.5" customHeight="1">
      <c r="A36" s="53" t="s">
        <v>47</v>
      </c>
      <c r="B36" s="54" t="s">
        <v>40</v>
      </c>
      <c r="C36" s="94">
        <v>0</v>
      </c>
      <c r="D36" s="35">
        <f t="shared" si="4"/>
        <v>0</v>
      </c>
      <c r="E36" s="89" t="str">
        <f t="shared" si="3"/>
        <v>-</v>
      </c>
      <c r="F36" s="90" t="str">
        <f t="shared" si="1"/>
        <v>-</v>
      </c>
    </row>
    <row r="37" spans="1:6" ht="28.5" customHeight="1">
      <c r="A37" s="53" t="s">
        <v>48</v>
      </c>
      <c r="B37" s="54" t="s">
        <v>41</v>
      </c>
      <c r="C37" s="94">
        <v>0</v>
      </c>
      <c r="D37" s="35">
        <f t="shared" si="4"/>
        <v>0</v>
      </c>
      <c r="E37" s="89" t="str">
        <f t="shared" si="3"/>
        <v>-</v>
      </c>
      <c r="F37" s="90" t="str">
        <f t="shared" si="1"/>
        <v>-</v>
      </c>
    </row>
    <row r="38" spans="1:6" ht="28.5" customHeight="1">
      <c r="A38" s="53" t="s">
        <v>49</v>
      </c>
      <c r="B38" s="54" t="s">
        <v>42</v>
      </c>
      <c r="C38" s="94">
        <v>0</v>
      </c>
      <c r="D38" s="35">
        <f t="shared" si="4"/>
        <v>0</v>
      </c>
      <c r="E38" s="89" t="str">
        <f t="shared" si="3"/>
        <v>-</v>
      </c>
      <c r="F38" s="90" t="str">
        <f t="shared" si="1"/>
        <v>-</v>
      </c>
    </row>
    <row r="39" spans="1:6" ht="28.5" customHeight="1">
      <c r="A39" s="53" t="s">
        <v>50</v>
      </c>
      <c r="B39" s="54" t="s">
        <v>43</v>
      </c>
      <c r="C39" s="94">
        <v>98</v>
      </c>
      <c r="D39" s="35">
        <f t="shared" si="4"/>
        <v>98</v>
      </c>
      <c r="E39" s="89" t="str">
        <f t="shared" si="3"/>
        <v>-</v>
      </c>
      <c r="F39" s="90">
        <f t="shared" si="1"/>
        <v>1</v>
      </c>
    </row>
    <row r="40" spans="1:6" ht="28.5" customHeight="1">
      <c r="A40" s="53" t="s">
        <v>51</v>
      </c>
      <c r="B40" s="54" t="s">
        <v>44</v>
      </c>
      <c r="C40" s="94">
        <v>0</v>
      </c>
      <c r="D40" s="35">
        <f t="shared" si="4"/>
        <v>0</v>
      </c>
      <c r="E40" s="89" t="str">
        <f t="shared" si="3"/>
        <v>-</v>
      </c>
      <c r="F40" s="90" t="str">
        <f t="shared" si="1"/>
        <v>-</v>
      </c>
    </row>
    <row r="41" spans="1:6" ht="28.5" customHeight="1">
      <c r="A41" s="42" t="s">
        <v>24</v>
      </c>
      <c r="B41" s="51" t="s">
        <v>25</v>
      </c>
      <c r="C41" s="35">
        <v>7964</v>
      </c>
      <c r="D41" s="35">
        <f t="shared" si="4"/>
        <v>7964</v>
      </c>
      <c r="E41" s="89" t="str">
        <f t="shared" si="3"/>
        <v>-</v>
      </c>
      <c r="F41" s="90">
        <f t="shared" si="1"/>
        <v>1</v>
      </c>
    </row>
    <row r="42" spans="1:6" ht="28.5" customHeight="1">
      <c r="A42" s="42" t="s">
        <v>26</v>
      </c>
      <c r="B42" s="52" t="s">
        <v>61</v>
      </c>
      <c r="C42" s="110">
        <f>C43+C44+C45+C46</f>
        <v>1608</v>
      </c>
      <c r="D42" s="35">
        <f t="shared" si="4"/>
        <v>1608</v>
      </c>
      <c r="E42" s="89" t="str">
        <f t="shared" si="3"/>
        <v>-</v>
      </c>
      <c r="F42" s="90">
        <f t="shared" si="1"/>
        <v>1</v>
      </c>
    </row>
    <row r="43" spans="1:6" ht="28.5" customHeight="1">
      <c r="A43" s="53" t="s">
        <v>56</v>
      </c>
      <c r="B43" s="54" t="s">
        <v>52</v>
      </c>
      <c r="C43" s="35">
        <v>1210</v>
      </c>
      <c r="D43" s="35">
        <f t="shared" si="4"/>
        <v>1210</v>
      </c>
      <c r="E43" s="89" t="str">
        <f t="shared" si="3"/>
        <v>-</v>
      </c>
      <c r="F43" s="90">
        <f t="shared" si="1"/>
        <v>1</v>
      </c>
    </row>
    <row r="44" spans="1:6" ht="28.5" customHeight="1">
      <c r="A44" s="53" t="s">
        <v>57</v>
      </c>
      <c r="B44" s="54" t="s">
        <v>53</v>
      </c>
      <c r="C44" s="35">
        <v>195</v>
      </c>
      <c r="D44" s="35">
        <f t="shared" si="4"/>
        <v>195</v>
      </c>
      <c r="E44" s="89" t="str">
        <f t="shared" si="3"/>
        <v>-</v>
      </c>
      <c r="F44" s="90">
        <f t="shared" si="1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1"/>
        <v>-</v>
      </c>
    </row>
    <row r="46" spans="1:6" ht="28.5" customHeight="1">
      <c r="A46" s="53" t="s">
        <v>59</v>
      </c>
      <c r="B46" s="54" t="s">
        <v>55</v>
      </c>
      <c r="C46" s="35">
        <v>203</v>
      </c>
      <c r="D46" s="35">
        <f t="shared" si="4"/>
        <v>203</v>
      </c>
      <c r="E46" s="89" t="str">
        <f t="shared" si="3"/>
        <v>-</v>
      </c>
      <c r="F46" s="90">
        <f t="shared" si="1"/>
        <v>1</v>
      </c>
    </row>
    <row r="47" spans="1:6" ht="28.5" customHeight="1">
      <c r="A47" s="42" t="s">
        <v>27</v>
      </c>
      <c r="B47" s="51" t="s">
        <v>28</v>
      </c>
      <c r="C47" s="94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</row>
    <row r="48" spans="1:6" ht="48" customHeight="1">
      <c r="A48" s="42" t="s">
        <v>29</v>
      </c>
      <c r="B48" s="51" t="s">
        <v>116</v>
      </c>
      <c r="C48" s="111">
        <v>3370</v>
      </c>
      <c r="D48" s="35">
        <f>C48</f>
        <v>3370</v>
      </c>
      <c r="E48" s="89" t="str">
        <f t="shared" si="3"/>
        <v>-</v>
      </c>
      <c r="F48" s="92">
        <f t="shared" si="5"/>
        <v>1</v>
      </c>
    </row>
    <row r="49" spans="1:6" ht="43.5" customHeight="1">
      <c r="A49" s="42" t="s">
        <v>30</v>
      </c>
      <c r="B49" s="51" t="s">
        <v>31</v>
      </c>
      <c r="C49" s="111">
        <v>289</v>
      </c>
      <c r="D49" s="35">
        <f t="shared" si="4"/>
        <v>289</v>
      </c>
      <c r="E49" s="89" t="str">
        <f t="shared" si="3"/>
        <v>-</v>
      </c>
      <c r="F49" s="92">
        <f t="shared" si="5"/>
        <v>1</v>
      </c>
    </row>
    <row r="50" spans="1:6" ht="35.25" customHeight="1">
      <c r="A50" s="42" t="s">
        <v>32</v>
      </c>
      <c r="B50" s="51" t="s">
        <v>33</v>
      </c>
      <c r="C50" s="94">
        <v>247</v>
      </c>
      <c r="D50" s="35">
        <f>C50</f>
        <v>247</v>
      </c>
      <c r="E50" s="89" t="str">
        <f t="shared" si="3"/>
        <v>-</v>
      </c>
      <c r="F50" s="90">
        <f t="shared" si="5"/>
        <v>1</v>
      </c>
    </row>
    <row r="51" spans="1:6" s="3" customFormat="1" ht="30" customHeight="1">
      <c r="A51" s="44" t="s">
        <v>34</v>
      </c>
      <c r="B51" s="56" t="s">
        <v>175</v>
      </c>
      <c r="C51" s="38">
        <f>SUM(C52:C55)</f>
        <v>9200</v>
      </c>
      <c r="D51" s="38">
        <f>SUM(D52:D55)</f>
        <v>9200</v>
      </c>
      <c r="E51" s="13" t="str">
        <f t="shared" si="3"/>
        <v>-</v>
      </c>
      <c r="F51" s="93">
        <f t="shared" si="5"/>
        <v>1</v>
      </c>
    </row>
    <row r="52" spans="1:6" ht="42" customHeight="1">
      <c r="A52" s="42" t="s">
        <v>119</v>
      </c>
      <c r="B52" s="51" t="s">
        <v>144</v>
      </c>
      <c r="C52" s="94">
        <v>4087</v>
      </c>
      <c r="D52" s="35">
        <f>C52</f>
        <v>4087</v>
      </c>
      <c r="E52" s="94" t="str">
        <f>IF(C52=D52,"-",D52-C52)</f>
        <v>-</v>
      </c>
      <c r="F52" s="100">
        <f t="shared" si="5"/>
        <v>1</v>
      </c>
    </row>
    <row r="53" spans="1:6" ht="31.5" customHeight="1">
      <c r="A53" s="42" t="s">
        <v>35</v>
      </c>
      <c r="B53" s="51" t="s">
        <v>63</v>
      </c>
      <c r="C53" s="94">
        <v>4913</v>
      </c>
      <c r="D53" s="35">
        <f>C53</f>
        <v>4913</v>
      </c>
      <c r="E53" s="94" t="str">
        <f>IF(C53=D53,"-",D53-C53)</f>
        <v>-</v>
      </c>
      <c r="F53" s="100">
        <f t="shared" si="5"/>
        <v>1</v>
      </c>
    </row>
    <row r="54" spans="1:6" ht="31.5" customHeight="1">
      <c r="A54" s="42" t="s">
        <v>36</v>
      </c>
      <c r="B54" s="51" t="s">
        <v>121</v>
      </c>
      <c r="C54" s="94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</row>
    <row r="55" spans="1:6" ht="31.5" customHeight="1">
      <c r="A55" s="42" t="s">
        <v>120</v>
      </c>
      <c r="B55" s="51" t="s">
        <v>122</v>
      </c>
      <c r="C55" s="94">
        <v>200</v>
      </c>
      <c r="D55" s="35">
        <f>C55</f>
        <v>200</v>
      </c>
      <c r="E55" s="94" t="str">
        <f>IF(C55=D55,"-",D55-C55)</f>
        <v>-</v>
      </c>
      <c r="F55" s="100">
        <f t="shared" si="5"/>
        <v>1</v>
      </c>
    </row>
    <row r="56" spans="1:6" ht="32.25" customHeight="1">
      <c r="A56" s="44" t="s">
        <v>127</v>
      </c>
      <c r="B56" s="56" t="s">
        <v>155</v>
      </c>
      <c r="C56" s="113">
        <v>1</v>
      </c>
      <c r="D56" s="38">
        <f>C56</f>
        <v>1</v>
      </c>
      <c r="E56" s="13" t="str">
        <f>IF(C56=D56,"-",D56-C56)</f>
        <v>-</v>
      </c>
      <c r="F56" s="93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G1" sqref="G1:AA16384"/>
      <selection pane="topRight" activeCell="G1" sqref="G1:AA16384"/>
      <selection pane="bottomLeft" activeCell="G1" sqref="G1:AA16384"/>
      <selection pane="bottomRight" activeCell="G1" sqref="G1:AA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8" width="0" style="2" hidden="1" customWidth="1"/>
    <col min="9" max="9" width="16.75390625" style="2" hidden="1" customWidth="1"/>
    <col min="10" max="27" width="0" style="2" hidden="1" customWidth="1"/>
    <col min="28" max="16384" width="9.125" style="2" customWidth="1"/>
  </cols>
  <sheetData>
    <row r="1" spans="1:6" s="59" customFormat="1" ht="38.25" customHeight="1">
      <c r="A1" s="129" t="str">
        <f>NFZ!A1</f>
        <v>ZMIANA PLANU FINANSOWEGO NARODOWEGO FUNDUSZU ZDROWIA NA 2010 ROK Z 16 GRUDNIA 2009 ROKU</v>
      </c>
      <c r="B1" s="129"/>
      <c r="C1" s="129"/>
      <c r="D1" s="129"/>
      <c r="E1" s="129"/>
      <c r="F1" s="129"/>
    </row>
    <row r="2" spans="1:3" s="61" customFormat="1" ht="33" customHeight="1">
      <c r="A2" s="130" t="s">
        <v>75</v>
      </c>
      <c r="B2" s="130"/>
      <c r="C2" s="130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2" t="s">
        <v>165</v>
      </c>
      <c r="B4" s="131" t="s">
        <v>62</v>
      </c>
      <c r="C4" s="127" t="s">
        <v>202</v>
      </c>
      <c r="D4" s="124" t="s">
        <v>159</v>
      </c>
      <c r="E4" s="126" t="s">
        <v>164</v>
      </c>
      <c r="F4" s="126" t="s">
        <v>163</v>
      </c>
    </row>
    <row r="5" spans="1:6" s="6" customFormat="1" ht="33" customHeight="1">
      <c r="A5" s="131"/>
      <c r="B5" s="131"/>
      <c r="C5" s="128"/>
      <c r="D5" s="125"/>
      <c r="E5" s="126"/>
      <c r="F5" s="126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9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3718192</v>
      </c>
      <c r="D7" s="16">
        <f>D8+D9+D10+D12+D13+D14+D15+D16+D17+D18+D19+D20+D21+D22+D24+D25+D26+D27</f>
        <v>3694918</v>
      </c>
      <c r="E7" s="13">
        <f>IF(C7=D7,"-",D7-C7)</f>
        <v>-23274</v>
      </c>
      <c r="F7" s="88">
        <f>IF(C7=0,"-",D7/C7)</f>
        <v>0.994</v>
      </c>
      <c r="H7" s="3">
        <v>3694918</v>
      </c>
      <c r="I7" s="16">
        <f>D7-H7</f>
        <v>0</v>
      </c>
    </row>
    <row r="8" spans="1:8" ht="31.5" customHeight="1">
      <c r="A8" s="40" t="s">
        <v>1</v>
      </c>
      <c r="B8" s="102" t="s">
        <v>166</v>
      </c>
      <c r="C8" s="111">
        <v>468354</v>
      </c>
      <c r="D8" s="36">
        <f>H8</f>
        <v>491429</v>
      </c>
      <c r="E8" s="89">
        <f aca="true" t="shared" si="0" ref="E8:E29">IF(C8=D8,"-",D8-C8)</f>
        <v>23075</v>
      </c>
      <c r="F8" s="90">
        <f aca="true" t="shared" si="1" ref="F8:F46">IF(C8=0,"-",D8/C8)</f>
        <v>1.0493</v>
      </c>
      <c r="H8" s="2">
        <v>491429</v>
      </c>
    </row>
    <row r="9" spans="1:8" ht="31.5" customHeight="1">
      <c r="A9" s="40" t="s">
        <v>2</v>
      </c>
      <c r="B9" s="102" t="s">
        <v>167</v>
      </c>
      <c r="C9" s="111">
        <v>244566</v>
      </c>
      <c r="D9" s="36">
        <f>ROUND(H9-('[6]REZERWA NA MIGRACJĘ'!$C$12-'[7]REZERWA NA MIGRACJĘ'!$C$12),0)</f>
        <v>234004</v>
      </c>
      <c r="E9" s="89">
        <f t="shared" si="0"/>
        <v>-10562</v>
      </c>
      <c r="F9" s="90">
        <f t="shared" si="1"/>
        <v>0.9568</v>
      </c>
      <c r="H9" s="2">
        <v>234619</v>
      </c>
    </row>
    <row r="10" spans="1:8" ht="31.5" customHeight="1">
      <c r="A10" s="40" t="s">
        <v>3</v>
      </c>
      <c r="B10" s="102" t="s">
        <v>158</v>
      </c>
      <c r="C10" s="111">
        <v>1644888</v>
      </c>
      <c r="D10" s="36">
        <f>ROUND(H10-('[6]REZERWA NA MIGRACJĘ'!$D$12-'[7]REZERWA NA MIGRACJĘ'!$D$12),0)+12568</f>
        <v>1611147</v>
      </c>
      <c r="E10" s="89">
        <f t="shared" si="0"/>
        <v>-33741</v>
      </c>
      <c r="F10" s="90">
        <f t="shared" si="1"/>
        <v>0.9795</v>
      </c>
      <c r="H10" s="2">
        <v>1611143</v>
      </c>
    </row>
    <row r="11" spans="1:8" ht="31.5" customHeight="1">
      <c r="A11" s="103" t="s">
        <v>64</v>
      </c>
      <c r="B11" s="45" t="s">
        <v>65</v>
      </c>
      <c r="C11" s="111">
        <v>76086</v>
      </c>
      <c r="D11" s="36">
        <f>ROUND(H11-('[6]REZERWA NA MIGRACJĘ'!$E$12-'[7]REZERWA NA MIGRACJĘ'!$E$12),0)</f>
        <v>68899</v>
      </c>
      <c r="E11" s="89">
        <f t="shared" si="0"/>
        <v>-7187</v>
      </c>
      <c r="F11" s="90">
        <f t="shared" si="1"/>
        <v>0.9055</v>
      </c>
      <c r="H11" s="2">
        <v>69338</v>
      </c>
    </row>
    <row r="12" spans="1:8" ht="31.5" customHeight="1">
      <c r="A12" s="40" t="s">
        <v>4</v>
      </c>
      <c r="B12" s="102" t="s">
        <v>173</v>
      </c>
      <c r="C12" s="111">
        <v>117000</v>
      </c>
      <c r="D12" s="36">
        <f>ROUND(H12-('[6]REZERWA NA MIGRACJĘ'!$F$12-'[7]REZERWA NA MIGRACJĘ'!$F$12),0)</f>
        <v>110959</v>
      </c>
      <c r="E12" s="89">
        <f t="shared" si="0"/>
        <v>-6041</v>
      </c>
      <c r="F12" s="90">
        <f t="shared" si="1"/>
        <v>0.9484</v>
      </c>
      <c r="H12" s="2">
        <v>111406</v>
      </c>
    </row>
    <row r="13" spans="1:8" ht="31.5" customHeight="1">
      <c r="A13" s="40" t="s">
        <v>5</v>
      </c>
      <c r="B13" s="102" t="s">
        <v>168</v>
      </c>
      <c r="C13" s="111">
        <v>99318</v>
      </c>
      <c r="D13" s="36">
        <f>ROUND(H13-('[6]REZERWA NA MIGRACJĘ'!$G$12-'[7]REZERWA NA MIGRACJĘ'!$G$12),0)</f>
        <v>93872</v>
      </c>
      <c r="E13" s="89">
        <f t="shared" si="0"/>
        <v>-5446</v>
      </c>
      <c r="F13" s="90">
        <f t="shared" si="1"/>
        <v>0.9452</v>
      </c>
      <c r="H13" s="2">
        <v>94594</v>
      </c>
    </row>
    <row r="14" spans="1:8" ht="31.5" customHeight="1">
      <c r="A14" s="40" t="s">
        <v>6</v>
      </c>
      <c r="B14" s="102" t="s">
        <v>177</v>
      </c>
      <c r="C14" s="111">
        <v>44063</v>
      </c>
      <c r="D14" s="36">
        <f>ROUND(H14-('[6]REZERWA NA MIGRACJĘ'!$H$12-'[7]REZERWA NA MIGRACJĘ'!$H$12),0)</f>
        <v>41127</v>
      </c>
      <c r="E14" s="89">
        <f t="shared" si="0"/>
        <v>-2936</v>
      </c>
      <c r="F14" s="90">
        <f t="shared" si="1"/>
        <v>0.9334</v>
      </c>
      <c r="H14" s="2">
        <v>41542</v>
      </c>
    </row>
    <row r="15" spans="1:8" ht="31.5" customHeight="1">
      <c r="A15" s="40" t="s">
        <v>7</v>
      </c>
      <c r="B15" s="102" t="s">
        <v>176</v>
      </c>
      <c r="C15" s="111">
        <v>16798</v>
      </c>
      <c r="D15" s="36">
        <f>ROUND(H15-('[6]REZERWA NA MIGRACJĘ'!$I$12-'[7]REZERWA NA MIGRACJĘ'!$I$12),0)</f>
        <v>16327</v>
      </c>
      <c r="E15" s="89">
        <f>IF(C15=D15,"-",D15-C15)</f>
        <v>-471</v>
      </c>
      <c r="F15" s="90">
        <f>IF(C15=0,"-",D15/C15)</f>
        <v>0.972</v>
      </c>
      <c r="H15" s="2">
        <v>16354</v>
      </c>
    </row>
    <row r="16" spans="1:8" ht="31.5" customHeight="1">
      <c r="A16" s="40" t="s">
        <v>8</v>
      </c>
      <c r="B16" s="102" t="s">
        <v>169</v>
      </c>
      <c r="C16" s="111">
        <v>125207</v>
      </c>
      <c r="D16" s="36">
        <f>ROUND(H16-('[6]REZERWA NA MIGRACJĘ'!$J12-'[7]REZERWA NA MIGRACJĘ'!$J$12),0)</f>
        <v>118257</v>
      </c>
      <c r="E16" s="89">
        <f t="shared" si="0"/>
        <v>-6950</v>
      </c>
      <c r="F16" s="90">
        <f t="shared" si="1"/>
        <v>0.9445</v>
      </c>
      <c r="H16" s="2">
        <v>118630</v>
      </c>
    </row>
    <row r="17" spans="1:8" ht="31.5" customHeight="1">
      <c r="A17" s="40" t="s">
        <v>9</v>
      </c>
      <c r="B17" s="102" t="s">
        <v>170</v>
      </c>
      <c r="C17" s="111">
        <v>49800</v>
      </c>
      <c r="D17" s="36">
        <f>ROUND(H17,0)</f>
        <v>46304</v>
      </c>
      <c r="E17" s="89">
        <f t="shared" si="0"/>
        <v>-3496</v>
      </c>
      <c r="F17" s="90">
        <f t="shared" si="1"/>
        <v>0.9298</v>
      </c>
      <c r="H17" s="2">
        <v>46304</v>
      </c>
    </row>
    <row r="18" spans="1:8" ht="31.5" customHeight="1">
      <c r="A18" s="40" t="s">
        <v>10</v>
      </c>
      <c r="B18" s="102" t="s">
        <v>178</v>
      </c>
      <c r="C18" s="111">
        <v>2180</v>
      </c>
      <c r="D18" s="36">
        <f>ROUND(H18,0)</f>
        <v>2035</v>
      </c>
      <c r="E18" s="89">
        <f t="shared" si="0"/>
        <v>-145</v>
      </c>
      <c r="F18" s="90">
        <f t="shared" si="1"/>
        <v>0.9335</v>
      </c>
      <c r="H18" s="2">
        <v>2035</v>
      </c>
    </row>
    <row r="19" spans="1:8" ht="46.5" customHeight="1">
      <c r="A19" s="40" t="s">
        <v>11</v>
      </c>
      <c r="B19" s="102" t="s">
        <v>171</v>
      </c>
      <c r="C19" s="111">
        <v>9201</v>
      </c>
      <c r="D19" s="36">
        <f>ROUND(H19-('[6]REZERWA NA MIGRACJĘ'!$K$12-'[7]REZERWA NA MIGRACJĘ'!$K$12),0)</f>
        <v>9959</v>
      </c>
      <c r="E19" s="89">
        <f t="shared" si="0"/>
        <v>758</v>
      </c>
      <c r="F19" s="90">
        <f t="shared" si="1"/>
        <v>1.0824</v>
      </c>
      <c r="H19" s="2">
        <v>9965</v>
      </c>
    </row>
    <row r="20" spans="1:8" ht="31.5" customHeight="1">
      <c r="A20" s="40" t="s">
        <v>12</v>
      </c>
      <c r="B20" s="102" t="s">
        <v>172</v>
      </c>
      <c r="C20" s="111">
        <v>83608</v>
      </c>
      <c r="D20" s="36">
        <f>ROUND(H20-('[6]REZERWA NA MIGRACJĘ'!$L$12-'[7]REZERWA NA MIGRACJĘ'!$L$12),0)</f>
        <v>79331</v>
      </c>
      <c r="E20" s="89">
        <f t="shared" si="0"/>
        <v>-4277</v>
      </c>
      <c r="F20" s="90">
        <f t="shared" si="1"/>
        <v>0.9488</v>
      </c>
      <c r="H20" s="2">
        <v>81494</v>
      </c>
    </row>
    <row r="21" spans="1:8" ht="31.5" customHeight="1">
      <c r="A21" s="40" t="s">
        <v>14</v>
      </c>
      <c r="B21" s="46" t="s">
        <v>13</v>
      </c>
      <c r="C21" s="111">
        <v>38186</v>
      </c>
      <c r="D21" s="36">
        <f>H21</f>
        <v>37438</v>
      </c>
      <c r="E21" s="89">
        <f t="shared" si="0"/>
        <v>-748</v>
      </c>
      <c r="F21" s="90">
        <f t="shared" si="1"/>
        <v>0.9804</v>
      </c>
      <c r="H21" s="2">
        <v>37438</v>
      </c>
    </row>
    <row r="22" spans="1:8" ht="31.5" customHeight="1">
      <c r="A22" s="41" t="s">
        <v>15</v>
      </c>
      <c r="B22" s="102" t="s">
        <v>174</v>
      </c>
      <c r="C22" s="111">
        <v>595630</v>
      </c>
      <c r="D22" s="36">
        <f>H22-12568</f>
        <v>575062</v>
      </c>
      <c r="E22" s="89">
        <f t="shared" si="0"/>
        <v>-20568</v>
      </c>
      <c r="F22" s="90">
        <f t="shared" si="1"/>
        <v>0.9655</v>
      </c>
      <c r="H22" s="2">
        <v>587630</v>
      </c>
    </row>
    <row r="23" spans="1:8" ht="31.5" customHeight="1">
      <c r="A23" s="39" t="s">
        <v>179</v>
      </c>
      <c r="B23" s="45" t="s">
        <v>66</v>
      </c>
      <c r="C23" s="111">
        <v>500</v>
      </c>
      <c r="D23" s="36">
        <f>H23</f>
        <v>500</v>
      </c>
      <c r="E23" s="89" t="str">
        <f t="shared" si="0"/>
        <v>-</v>
      </c>
      <c r="F23" s="90">
        <f t="shared" si="1"/>
        <v>1</v>
      </c>
      <c r="H23" s="2">
        <v>500</v>
      </c>
    </row>
    <row r="24" spans="1:8" ht="33" customHeight="1">
      <c r="A24" s="42" t="s">
        <v>16</v>
      </c>
      <c r="B24" s="47" t="s">
        <v>140</v>
      </c>
      <c r="C24" s="111">
        <v>0</v>
      </c>
      <c r="D24" s="36">
        <f>H24</f>
        <v>0</v>
      </c>
      <c r="E24" s="89" t="str">
        <f>IF(C24=D24,"-",D24-C24)</f>
        <v>-</v>
      </c>
      <c r="F24" s="90" t="str">
        <f>IF(C24=0,"-",D24/C24)</f>
        <v>-</v>
      </c>
      <c r="H24" s="2">
        <v>0</v>
      </c>
    </row>
    <row r="25" spans="1:8" ht="33" customHeight="1">
      <c r="A25" s="42" t="s">
        <v>137</v>
      </c>
      <c r="B25" s="48" t="s">
        <v>60</v>
      </c>
      <c r="C25" s="111">
        <v>0</v>
      </c>
      <c r="D25" s="36">
        <f>H25</f>
        <v>0</v>
      </c>
      <c r="E25" s="89" t="str">
        <f>IF(C25=D25,"-",D25-C25)</f>
        <v>-</v>
      </c>
      <c r="F25" s="90" t="str">
        <f>IF(C25=0,"-",D25/C25)</f>
        <v>-</v>
      </c>
      <c r="H25" s="2">
        <v>0</v>
      </c>
    </row>
    <row r="26" spans="1:8" ht="33" customHeight="1">
      <c r="A26" s="42" t="s">
        <v>138</v>
      </c>
      <c r="B26" s="48" t="s">
        <v>141</v>
      </c>
      <c r="C26" s="111">
        <v>169393</v>
      </c>
      <c r="D26" s="36">
        <f>ROUND('[6]REZERWA NA MIGRACJĘ'!$B$12,0)</f>
        <v>217867</v>
      </c>
      <c r="E26" s="89">
        <f>IF(C26=D26,"-",D26-C26)</f>
        <v>48474</v>
      </c>
      <c r="F26" s="90">
        <f>IF(C26=0,"-",D26/C26)</f>
        <v>1.2862</v>
      </c>
      <c r="H26" s="2">
        <v>200445</v>
      </c>
    </row>
    <row r="27" spans="1:8" ht="33" customHeight="1">
      <c r="A27" s="42" t="s">
        <v>139</v>
      </c>
      <c r="B27" s="48" t="s">
        <v>142</v>
      </c>
      <c r="C27" s="111">
        <v>10000</v>
      </c>
      <c r="D27" s="36">
        <f>ROUND(H27-('[6]REZERWA NA MIGRACJĘ'!$M$12-'[7]REZERWA NA MIGRACJĘ'!$M$12),0)</f>
        <v>9800</v>
      </c>
      <c r="E27" s="89">
        <f>IF(C27=D27,"-",D27-C27)</f>
        <v>-200</v>
      </c>
      <c r="F27" s="90">
        <f>IF(C27=0,"-",D27/C27)</f>
        <v>0.98</v>
      </c>
      <c r="H27" s="2">
        <v>9890</v>
      </c>
    </row>
    <row r="28" spans="1:6" s="5" customFormat="1" ht="31.5" customHeight="1">
      <c r="A28" s="43" t="s">
        <v>68</v>
      </c>
      <c r="B28" s="49" t="s">
        <v>69</v>
      </c>
      <c r="C28" s="112">
        <v>0</v>
      </c>
      <c r="D28" s="119">
        <f>C28</f>
        <v>0</v>
      </c>
      <c r="E28" s="15" t="str">
        <f t="shared" si="0"/>
        <v>-</v>
      </c>
      <c r="F28" s="120" t="str">
        <f t="shared" si="1"/>
        <v>-</v>
      </c>
    </row>
    <row r="29" spans="1:6" s="5" customFormat="1" ht="31.5" customHeight="1">
      <c r="A29" s="43" t="s">
        <v>67</v>
      </c>
      <c r="B29" s="49" t="s">
        <v>70</v>
      </c>
      <c r="C29" s="112">
        <v>113002</v>
      </c>
      <c r="D29" s="119">
        <f>C29</f>
        <v>113002</v>
      </c>
      <c r="E29" s="15" t="str">
        <f t="shared" si="0"/>
        <v>-</v>
      </c>
      <c r="F29" s="120">
        <f t="shared" si="1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26853</v>
      </c>
      <c r="D30" s="34">
        <f>D31+D32+D33+D41+D42+D48+D49+D50+D47</f>
        <v>26853</v>
      </c>
      <c r="E30" s="13" t="str">
        <f>IF(C30=D30,"-",D30-C30)</f>
        <v>-</v>
      </c>
      <c r="F30" s="91">
        <f t="shared" si="1"/>
        <v>1</v>
      </c>
    </row>
    <row r="31" spans="1:6" ht="28.5" customHeight="1">
      <c r="A31" s="42" t="s">
        <v>19</v>
      </c>
      <c r="B31" s="51" t="s">
        <v>20</v>
      </c>
      <c r="C31" s="94">
        <v>899</v>
      </c>
      <c r="D31" s="35">
        <f>C31</f>
        <v>899</v>
      </c>
      <c r="E31" s="89" t="str">
        <f aca="true" t="shared" si="2" ref="E31:E51">IF(C31=D31,"-",D31-C31)</f>
        <v>-</v>
      </c>
      <c r="F31" s="90">
        <f t="shared" si="1"/>
        <v>1</v>
      </c>
    </row>
    <row r="32" spans="1:6" ht="28.5" customHeight="1">
      <c r="A32" s="42" t="s">
        <v>21</v>
      </c>
      <c r="B32" s="51" t="s">
        <v>22</v>
      </c>
      <c r="C32" s="94">
        <v>3592</v>
      </c>
      <c r="D32" s="35">
        <f>C32</f>
        <v>3592</v>
      </c>
      <c r="E32" s="89" t="str">
        <f t="shared" si="2"/>
        <v>-</v>
      </c>
      <c r="F32" s="90">
        <f t="shared" si="1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272</v>
      </c>
      <c r="D33" s="35">
        <f>D34+D36+D37+D38+D39+D40</f>
        <v>272</v>
      </c>
      <c r="E33" s="89" t="str">
        <f t="shared" si="2"/>
        <v>-</v>
      </c>
      <c r="F33" s="90">
        <f t="shared" si="1"/>
        <v>1</v>
      </c>
    </row>
    <row r="34" spans="1:6" ht="28.5" customHeight="1">
      <c r="A34" s="53" t="s">
        <v>45</v>
      </c>
      <c r="B34" s="54" t="s">
        <v>38</v>
      </c>
      <c r="C34" s="94">
        <v>10</v>
      </c>
      <c r="D34" s="35">
        <f>C34</f>
        <v>10</v>
      </c>
      <c r="E34" s="89" t="str">
        <f t="shared" si="2"/>
        <v>-</v>
      </c>
      <c r="F34" s="90">
        <f t="shared" si="1"/>
        <v>1</v>
      </c>
    </row>
    <row r="35" spans="1:6" ht="28.5" customHeight="1">
      <c r="A35" s="53" t="s">
        <v>46</v>
      </c>
      <c r="B35" s="55" t="s">
        <v>39</v>
      </c>
      <c r="C35" s="94">
        <v>10</v>
      </c>
      <c r="D35" s="35">
        <f aca="true" t="shared" si="3" ref="D35:D47">C35</f>
        <v>10</v>
      </c>
      <c r="E35" s="89" t="str">
        <f t="shared" si="2"/>
        <v>-</v>
      </c>
      <c r="F35" s="90">
        <f t="shared" si="1"/>
        <v>1</v>
      </c>
    </row>
    <row r="36" spans="1:6" ht="28.5" customHeight="1">
      <c r="A36" s="53" t="s">
        <v>47</v>
      </c>
      <c r="B36" s="54" t="s">
        <v>40</v>
      </c>
      <c r="C36" s="94"/>
      <c r="D36" s="35">
        <f t="shared" si="3"/>
        <v>0</v>
      </c>
      <c r="E36" s="89" t="str">
        <f t="shared" si="2"/>
        <v>-</v>
      </c>
      <c r="F36" s="90" t="str">
        <f t="shared" si="1"/>
        <v>-</v>
      </c>
    </row>
    <row r="37" spans="1:6" ht="28.5" customHeight="1">
      <c r="A37" s="53" t="s">
        <v>48</v>
      </c>
      <c r="B37" s="54" t="s">
        <v>41</v>
      </c>
      <c r="C37" s="94"/>
      <c r="D37" s="35">
        <f t="shared" si="3"/>
        <v>0</v>
      </c>
      <c r="E37" s="89" t="str">
        <f t="shared" si="2"/>
        <v>-</v>
      </c>
      <c r="F37" s="90" t="str">
        <f t="shared" si="1"/>
        <v>-</v>
      </c>
    </row>
    <row r="38" spans="1:6" ht="28.5" customHeight="1">
      <c r="A38" s="53" t="s">
        <v>49</v>
      </c>
      <c r="B38" s="54" t="s">
        <v>42</v>
      </c>
      <c r="C38" s="94"/>
      <c r="D38" s="35">
        <f t="shared" si="3"/>
        <v>0</v>
      </c>
      <c r="E38" s="89" t="str">
        <f t="shared" si="2"/>
        <v>-</v>
      </c>
      <c r="F38" s="90" t="str">
        <f t="shared" si="1"/>
        <v>-</v>
      </c>
    </row>
    <row r="39" spans="1:6" ht="28.5" customHeight="1">
      <c r="A39" s="53" t="s">
        <v>50</v>
      </c>
      <c r="B39" s="54" t="s">
        <v>43</v>
      </c>
      <c r="C39" s="94">
        <v>259</v>
      </c>
      <c r="D39" s="35">
        <f t="shared" si="3"/>
        <v>259</v>
      </c>
      <c r="E39" s="89" t="str">
        <f t="shared" si="2"/>
        <v>-</v>
      </c>
      <c r="F39" s="90">
        <f t="shared" si="1"/>
        <v>1</v>
      </c>
    </row>
    <row r="40" spans="1:6" ht="28.5" customHeight="1">
      <c r="A40" s="53" t="s">
        <v>51</v>
      </c>
      <c r="B40" s="54" t="s">
        <v>44</v>
      </c>
      <c r="C40" s="94">
        <v>3</v>
      </c>
      <c r="D40" s="35">
        <f t="shared" si="3"/>
        <v>3</v>
      </c>
      <c r="E40" s="89" t="str">
        <f t="shared" si="2"/>
        <v>-</v>
      </c>
      <c r="F40" s="90">
        <f t="shared" si="1"/>
        <v>1</v>
      </c>
    </row>
    <row r="41" spans="1:6" ht="28.5" customHeight="1">
      <c r="A41" s="42" t="s">
        <v>24</v>
      </c>
      <c r="B41" s="51" t="s">
        <v>25</v>
      </c>
      <c r="C41" s="35">
        <v>16636</v>
      </c>
      <c r="D41" s="35">
        <f t="shared" si="3"/>
        <v>16636</v>
      </c>
      <c r="E41" s="89" t="str">
        <f t="shared" si="2"/>
        <v>-</v>
      </c>
      <c r="F41" s="90">
        <f t="shared" si="1"/>
        <v>1</v>
      </c>
    </row>
    <row r="42" spans="1:6" ht="28.5" customHeight="1">
      <c r="A42" s="42" t="s">
        <v>26</v>
      </c>
      <c r="B42" s="52" t="s">
        <v>61</v>
      </c>
      <c r="C42" s="110">
        <f>C43+C44+C45+C46</f>
        <v>3357</v>
      </c>
      <c r="D42" s="35">
        <f>SUM(D43:D46)</f>
        <v>3357</v>
      </c>
      <c r="E42" s="89" t="str">
        <f t="shared" si="2"/>
        <v>-</v>
      </c>
      <c r="F42" s="90">
        <f t="shared" si="1"/>
        <v>1</v>
      </c>
    </row>
    <row r="43" spans="1:6" ht="28.5" customHeight="1">
      <c r="A43" s="53" t="s">
        <v>56</v>
      </c>
      <c r="B43" s="54" t="s">
        <v>52</v>
      </c>
      <c r="C43" s="35">
        <v>2527</v>
      </c>
      <c r="D43" s="35">
        <f>C43</f>
        <v>2527</v>
      </c>
      <c r="E43" s="89" t="str">
        <f t="shared" si="2"/>
        <v>-</v>
      </c>
      <c r="F43" s="90">
        <f t="shared" si="1"/>
        <v>1</v>
      </c>
    </row>
    <row r="44" spans="1:6" ht="28.5" customHeight="1">
      <c r="A44" s="53" t="s">
        <v>57</v>
      </c>
      <c r="B44" s="54" t="s">
        <v>53</v>
      </c>
      <c r="C44" s="35">
        <v>408</v>
      </c>
      <c r="D44" s="35">
        <f>C44</f>
        <v>408</v>
      </c>
      <c r="E44" s="89" t="str">
        <f t="shared" si="2"/>
        <v>-</v>
      </c>
      <c r="F44" s="90">
        <f t="shared" si="1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3"/>
        <v>0</v>
      </c>
      <c r="E45" s="89" t="str">
        <f t="shared" si="2"/>
        <v>-</v>
      </c>
      <c r="F45" s="90" t="str">
        <f t="shared" si="1"/>
        <v>-</v>
      </c>
    </row>
    <row r="46" spans="1:6" ht="28.5" customHeight="1">
      <c r="A46" s="53" t="s">
        <v>59</v>
      </c>
      <c r="B46" s="54" t="s">
        <v>55</v>
      </c>
      <c r="C46" s="35">
        <v>422</v>
      </c>
      <c r="D46" s="35">
        <f>C46</f>
        <v>422</v>
      </c>
      <c r="E46" s="89" t="str">
        <f t="shared" si="2"/>
        <v>-</v>
      </c>
      <c r="F46" s="90">
        <f t="shared" si="1"/>
        <v>1</v>
      </c>
    </row>
    <row r="47" spans="1:6" ht="28.5" customHeight="1">
      <c r="A47" s="42" t="s">
        <v>27</v>
      </c>
      <c r="B47" s="51" t="s">
        <v>28</v>
      </c>
      <c r="C47" s="94">
        <v>0</v>
      </c>
      <c r="D47" s="35">
        <f t="shared" si="3"/>
        <v>0</v>
      </c>
      <c r="E47" s="89" t="str">
        <f t="shared" si="2"/>
        <v>-</v>
      </c>
      <c r="F47" s="90" t="str">
        <f aca="true" t="shared" si="4" ref="F47:F55">IF(C47=0,"-",D47/C47)</f>
        <v>-</v>
      </c>
    </row>
    <row r="48" spans="1:6" ht="48" customHeight="1">
      <c r="A48" s="42" t="s">
        <v>29</v>
      </c>
      <c r="B48" s="51" t="s">
        <v>116</v>
      </c>
      <c r="C48" s="111">
        <v>1748</v>
      </c>
      <c r="D48" s="35">
        <f>C48</f>
        <v>1748</v>
      </c>
      <c r="E48" s="89" t="str">
        <f t="shared" si="2"/>
        <v>-</v>
      </c>
      <c r="F48" s="92">
        <f t="shared" si="4"/>
        <v>1</v>
      </c>
    </row>
    <row r="49" spans="1:6" ht="43.5" customHeight="1">
      <c r="A49" s="42" t="s">
        <v>30</v>
      </c>
      <c r="B49" s="51" t="s">
        <v>31</v>
      </c>
      <c r="C49" s="111">
        <v>177</v>
      </c>
      <c r="D49" s="35">
        <f>C49</f>
        <v>177</v>
      </c>
      <c r="E49" s="89" t="str">
        <f t="shared" si="2"/>
        <v>-</v>
      </c>
      <c r="F49" s="92">
        <f t="shared" si="4"/>
        <v>1</v>
      </c>
    </row>
    <row r="50" spans="1:6" ht="35.25" customHeight="1">
      <c r="A50" s="42" t="s">
        <v>32</v>
      </c>
      <c r="B50" s="51" t="s">
        <v>33</v>
      </c>
      <c r="C50" s="94">
        <v>172</v>
      </c>
      <c r="D50" s="35">
        <f>C50</f>
        <v>172</v>
      </c>
      <c r="E50" s="89" t="str">
        <f t="shared" si="2"/>
        <v>-</v>
      </c>
      <c r="F50" s="90">
        <f t="shared" si="4"/>
        <v>1</v>
      </c>
    </row>
    <row r="51" spans="1:6" s="3" customFormat="1" ht="30" customHeight="1">
      <c r="A51" s="44" t="s">
        <v>34</v>
      </c>
      <c r="B51" s="56" t="s">
        <v>175</v>
      </c>
      <c r="C51" s="38">
        <f>SUM(C52:C55)</f>
        <v>15480</v>
      </c>
      <c r="D51" s="38">
        <f>SUM(D52:D55)</f>
        <v>15480</v>
      </c>
      <c r="E51" s="13" t="str">
        <f t="shared" si="2"/>
        <v>-</v>
      </c>
      <c r="F51" s="93">
        <f t="shared" si="4"/>
        <v>1</v>
      </c>
    </row>
    <row r="52" spans="1:6" ht="42" customHeight="1">
      <c r="A52" s="42" t="s">
        <v>119</v>
      </c>
      <c r="B52" s="51" t="s">
        <v>144</v>
      </c>
      <c r="C52" s="94">
        <v>467</v>
      </c>
      <c r="D52" s="35">
        <f>C52</f>
        <v>467</v>
      </c>
      <c r="E52" s="94" t="str">
        <f>IF(C52=D52,"-",D52-C52)</f>
        <v>-</v>
      </c>
      <c r="F52" s="100">
        <f t="shared" si="4"/>
        <v>1</v>
      </c>
    </row>
    <row r="53" spans="1:6" ht="31.5" customHeight="1">
      <c r="A53" s="42" t="s">
        <v>35</v>
      </c>
      <c r="B53" s="51" t="s">
        <v>63</v>
      </c>
      <c r="C53" s="94">
        <v>14213</v>
      </c>
      <c r="D53" s="35">
        <f>C53</f>
        <v>14213</v>
      </c>
      <c r="E53" s="94" t="str">
        <f>IF(C53=D53,"-",D53-C53)</f>
        <v>-</v>
      </c>
      <c r="F53" s="100">
        <f t="shared" si="4"/>
        <v>1</v>
      </c>
    </row>
    <row r="54" spans="1:6" ht="31.5" customHeight="1">
      <c r="A54" s="42" t="s">
        <v>36</v>
      </c>
      <c r="B54" s="51" t="s">
        <v>121</v>
      </c>
      <c r="C54" s="94">
        <v>0</v>
      </c>
      <c r="D54" s="35">
        <f>C54</f>
        <v>0</v>
      </c>
      <c r="E54" s="94" t="str">
        <f>IF(C54=D54,"-",D54-C54)</f>
        <v>-</v>
      </c>
      <c r="F54" s="100" t="str">
        <f t="shared" si="4"/>
        <v>-</v>
      </c>
    </row>
    <row r="55" spans="1:6" ht="31.5" customHeight="1">
      <c r="A55" s="42" t="s">
        <v>120</v>
      </c>
      <c r="B55" s="51" t="s">
        <v>122</v>
      </c>
      <c r="C55" s="94">
        <v>800</v>
      </c>
      <c r="D55" s="35">
        <f>C55</f>
        <v>800</v>
      </c>
      <c r="E55" s="94" t="str">
        <f>IF(C55=D55,"-",D55-C55)</f>
        <v>-</v>
      </c>
      <c r="F55" s="100">
        <f t="shared" si="4"/>
        <v>1</v>
      </c>
    </row>
    <row r="56" spans="1:6" ht="32.25" customHeight="1">
      <c r="A56" s="44" t="s">
        <v>127</v>
      </c>
      <c r="B56" s="56" t="s">
        <v>155</v>
      </c>
      <c r="C56" s="113">
        <v>274</v>
      </c>
      <c r="D56" s="38">
        <f>C56</f>
        <v>274</v>
      </c>
      <c r="E56" s="13" t="str">
        <f>IF(C56=D56,"-",D56-C56)</f>
        <v>-</v>
      </c>
      <c r="F56" s="93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1"/>
  <sheetViews>
    <sheetView showGridLines="0" zoomScale="55" zoomScaleNormal="55" zoomScaleSheetLayoutView="55" zoomScalePageLayoutView="0" workbookViewId="0" topLeftCell="A1">
      <pane xSplit="1" ySplit="7" topLeftCell="B8" activePane="bottomRight" state="frozen"/>
      <selection pane="topLeft" activeCell="G1" sqref="G1:AA16384"/>
      <selection pane="topRight" activeCell="G1" sqref="G1:AA16384"/>
      <selection pane="bottomLeft" activeCell="G1" sqref="G1:AA16384"/>
      <selection pane="bottomRight" activeCell="G1" sqref="G1:AA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7" width="0" style="2" hidden="1" customWidth="1"/>
    <col min="8" max="8" width="9.375" style="2" hidden="1" customWidth="1"/>
    <col min="9" max="9" width="16.75390625" style="2" hidden="1" customWidth="1"/>
    <col min="10" max="27" width="0" style="2" hidden="1" customWidth="1"/>
    <col min="28" max="16384" width="9.125" style="2" customWidth="1"/>
  </cols>
  <sheetData>
    <row r="1" spans="1:6" s="59" customFormat="1" ht="38.25" customHeight="1">
      <c r="A1" s="129" t="str">
        <f>NFZ!A1</f>
        <v>ZMIANA PLANU FINANSOWEGO NARODOWEGO FUNDUSZU ZDROWIA NA 2010 ROK Z 16 GRUDNIA 2009 ROKU</v>
      </c>
      <c r="B1" s="129"/>
      <c r="C1" s="129"/>
      <c r="D1" s="129"/>
      <c r="E1" s="129"/>
      <c r="F1" s="129"/>
    </row>
    <row r="2" spans="1:3" s="61" customFormat="1" ht="33" customHeight="1">
      <c r="A2" s="130" t="s">
        <v>76</v>
      </c>
      <c r="B2" s="130"/>
      <c r="C2" s="130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34" s="6" customFormat="1" ht="33" customHeight="1">
      <c r="A4" s="132" t="s">
        <v>165</v>
      </c>
      <c r="B4" s="131" t="s">
        <v>62</v>
      </c>
      <c r="C4" s="127" t="s">
        <v>202</v>
      </c>
      <c r="D4" s="124" t="s">
        <v>159</v>
      </c>
      <c r="E4" s="126" t="s">
        <v>164</v>
      </c>
      <c r="F4" s="126" t="s">
        <v>163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</row>
    <row r="5" spans="1:34" s="6" customFormat="1" ht="33" customHeight="1">
      <c r="A5" s="131"/>
      <c r="B5" s="131"/>
      <c r="C5" s="128"/>
      <c r="D5" s="125"/>
      <c r="E5" s="126"/>
      <c r="F5" s="126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</row>
    <row r="6" spans="1:34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</row>
    <row r="7" spans="1:34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4395629</v>
      </c>
      <c r="D7" s="16">
        <f>D8+D9+D10+D12+D13+D14+D15+D16+D17+D18+D19+D20+D21+D22+D24+D25+D26+D27</f>
        <v>4422438</v>
      </c>
      <c r="E7" s="13">
        <f>IF(C7=D7,"-",D7-C7)</f>
        <v>26809</v>
      </c>
      <c r="F7" s="88">
        <f>IF(C7=0,"-",D7/C7)</f>
        <v>1.006</v>
      </c>
      <c r="G7" s="2"/>
      <c r="H7" s="106">
        <v>4422438</v>
      </c>
      <c r="I7" s="16">
        <f>D7-H7</f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8" ht="31.5" customHeight="1">
      <c r="A8" s="40" t="s">
        <v>1</v>
      </c>
      <c r="B8" s="102" t="s">
        <v>166</v>
      </c>
      <c r="C8" s="111">
        <v>610844</v>
      </c>
      <c r="D8" s="36">
        <f>H8</f>
        <v>610844</v>
      </c>
      <c r="E8" s="89" t="str">
        <f aca="true" t="shared" si="0" ref="E8:E29">IF(C8=D8,"-",D8-C8)</f>
        <v>-</v>
      </c>
      <c r="F8" s="90">
        <f aca="true" t="shared" si="1" ref="F8:F46">IF(C8=0,"-",D8/C8)</f>
        <v>1</v>
      </c>
      <c r="H8" s="106">
        <v>610844</v>
      </c>
    </row>
    <row r="9" spans="1:8" ht="31.5" customHeight="1">
      <c r="A9" s="40" t="s">
        <v>2</v>
      </c>
      <c r="B9" s="102" t="s">
        <v>167</v>
      </c>
      <c r="C9" s="111">
        <v>306687</v>
      </c>
      <c r="D9" s="36">
        <f>ROUND(H9-('[6]REZERWA NA MIGRACJĘ'!$C$13-'[7]REZERWA NA MIGRACJĘ'!$C$13),0)</f>
        <v>306374</v>
      </c>
      <c r="E9" s="89">
        <f t="shared" si="0"/>
        <v>-313</v>
      </c>
      <c r="F9" s="90">
        <f t="shared" si="1"/>
        <v>0.999</v>
      </c>
      <c r="H9" s="106">
        <v>306687</v>
      </c>
    </row>
    <row r="10" spans="1:8" ht="31.5" customHeight="1">
      <c r="A10" s="40" t="s">
        <v>3</v>
      </c>
      <c r="B10" s="102" t="s">
        <v>158</v>
      </c>
      <c r="C10" s="111">
        <v>1832717</v>
      </c>
      <c r="D10" s="36">
        <f>ROUND(H10-('[6]REZERWA NA MIGRACJĘ'!$D$13-'[7]REZERWA NA MIGRACJĘ'!$D$13),0)+17376</f>
        <v>1844238</v>
      </c>
      <c r="E10" s="89">
        <f t="shared" si="0"/>
        <v>11521</v>
      </c>
      <c r="F10" s="90">
        <f t="shared" si="1"/>
        <v>1.0063</v>
      </c>
      <c r="H10" s="106">
        <v>1829502</v>
      </c>
    </row>
    <row r="11" spans="1:8" ht="31.5" customHeight="1">
      <c r="A11" s="103" t="s">
        <v>64</v>
      </c>
      <c r="B11" s="45" t="s">
        <v>65</v>
      </c>
      <c r="C11" s="111">
        <v>113035</v>
      </c>
      <c r="D11" s="36">
        <f>ROUND(H11-('[6]REZERWA NA MIGRACJĘ'!$E$13-'[7]REZERWA NA MIGRACJĘ'!$E$13),0)</f>
        <v>112161</v>
      </c>
      <c r="E11" s="89">
        <f t="shared" si="0"/>
        <v>-874</v>
      </c>
      <c r="F11" s="90">
        <f t="shared" si="1"/>
        <v>0.9923</v>
      </c>
      <c r="H11" s="106">
        <v>111046</v>
      </c>
    </row>
    <row r="12" spans="1:8" ht="31.5" customHeight="1">
      <c r="A12" s="40" t="s">
        <v>4</v>
      </c>
      <c r="B12" s="102" t="s">
        <v>173</v>
      </c>
      <c r="C12" s="111">
        <v>122837</v>
      </c>
      <c r="D12" s="36">
        <f>ROUND(H12-('[6]REZERWA NA MIGRACJĘ'!$F$13-'[7]REZERWA NA MIGRACJĘ'!$F$13),0)</f>
        <v>120998</v>
      </c>
      <c r="E12" s="89">
        <f t="shared" si="0"/>
        <v>-1839</v>
      </c>
      <c r="F12" s="90">
        <f t="shared" si="1"/>
        <v>0.985</v>
      </c>
      <c r="H12" s="106">
        <v>121751</v>
      </c>
    </row>
    <row r="13" spans="1:8" ht="31.5" customHeight="1">
      <c r="A13" s="40" t="s">
        <v>5</v>
      </c>
      <c r="B13" s="102" t="s">
        <v>168</v>
      </c>
      <c r="C13" s="111">
        <v>132873</v>
      </c>
      <c r="D13" s="36">
        <f>ROUND(H13-('[6]REZERWA NA MIGRACJĘ'!$G$13-'[7]REZERWA NA MIGRACJĘ'!$G$13),0)</f>
        <v>132083</v>
      </c>
      <c r="E13" s="89">
        <f t="shared" si="0"/>
        <v>-790</v>
      </c>
      <c r="F13" s="90">
        <f t="shared" si="1"/>
        <v>0.9941</v>
      </c>
      <c r="H13" s="106">
        <v>132429</v>
      </c>
    </row>
    <row r="14" spans="1:8" ht="31.5" customHeight="1">
      <c r="A14" s="40" t="s">
        <v>6</v>
      </c>
      <c r="B14" s="102" t="s">
        <v>177</v>
      </c>
      <c r="C14" s="111">
        <v>97635</v>
      </c>
      <c r="D14" s="36">
        <f>ROUND(H14-('[6]REZERWA NA MIGRACJĘ'!$H$13-'[7]REZERWA NA MIGRACJĘ'!$H$13),0)</f>
        <v>96046</v>
      </c>
      <c r="E14" s="89">
        <f t="shared" si="0"/>
        <v>-1589</v>
      </c>
      <c r="F14" s="90">
        <f t="shared" si="1"/>
        <v>0.9837</v>
      </c>
      <c r="H14" s="106">
        <v>96135</v>
      </c>
    </row>
    <row r="15" spans="1:8" ht="31.5" customHeight="1">
      <c r="A15" s="40" t="s">
        <v>7</v>
      </c>
      <c r="B15" s="102" t="s">
        <v>176</v>
      </c>
      <c r="C15" s="111">
        <v>19087</v>
      </c>
      <c r="D15" s="36">
        <f>ROUND(H15-('[6]REZERWA NA MIGRACJĘ'!$I$13-'[7]REZERWA NA MIGRACJĘ'!$I$13),0)</f>
        <v>20574</v>
      </c>
      <c r="E15" s="89">
        <f>IF(C15=D15,"-",D15-C15)</f>
        <v>1487</v>
      </c>
      <c r="F15" s="90">
        <f>IF(C15=0,"-",D15/C15)</f>
        <v>1.0779</v>
      </c>
      <c r="H15" s="106">
        <v>20587</v>
      </c>
    </row>
    <row r="16" spans="1:8" ht="31.5" customHeight="1">
      <c r="A16" s="40" t="s">
        <v>8</v>
      </c>
      <c r="B16" s="102" t="s">
        <v>169</v>
      </c>
      <c r="C16" s="111">
        <v>167717</v>
      </c>
      <c r="D16" s="36">
        <f>ROUND(H16-('[6]REZERWA NA MIGRACJĘ'!$J13-'[7]REZERWA NA MIGRACJĘ'!$J$13),0)</f>
        <v>162138</v>
      </c>
      <c r="E16" s="89">
        <f t="shared" si="0"/>
        <v>-5579</v>
      </c>
      <c r="F16" s="90">
        <f t="shared" si="1"/>
        <v>0.9667</v>
      </c>
      <c r="H16" s="106">
        <v>162268</v>
      </c>
    </row>
    <row r="17" spans="1:8" ht="31.5" customHeight="1">
      <c r="A17" s="40" t="s">
        <v>9</v>
      </c>
      <c r="B17" s="102" t="s">
        <v>170</v>
      </c>
      <c r="C17" s="111">
        <v>37334</v>
      </c>
      <c r="D17" s="36">
        <f>ROUND(H17,0)</f>
        <v>37334</v>
      </c>
      <c r="E17" s="89" t="str">
        <f t="shared" si="0"/>
        <v>-</v>
      </c>
      <c r="F17" s="90">
        <f t="shared" si="1"/>
        <v>1</v>
      </c>
      <c r="H17" s="106">
        <v>37334</v>
      </c>
    </row>
    <row r="18" spans="1:8" ht="31.5" customHeight="1">
      <c r="A18" s="40" t="s">
        <v>10</v>
      </c>
      <c r="B18" s="102" t="s">
        <v>178</v>
      </c>
      <c r="C18" s="111">
        <v>1551</v>
      </c>
      <c r="D18" s="36">
        <f>ROUND(H18,0)</f>
        <v>1551</v>
      </c>
      <c r="E18" s="89" t="str">
        <f t="shared" si="0"/>
        <v>-</v>
      </c>
      <c r="F18" s="90">
        <f t="shared" si="1"/>
        <v>1</v>
      </c>
      <c r="H18" s="106">
        <v>1551</v>
      </c>
    </row>
    <row r="19" spans="1:8" ht="46.5" customHeight="1">
      <c r="A19" s="40" t="s">
        <v>11</v>
      </c>
      <c r="B19" s="102" t="s">
        <v>171</v>
      </c>
      <c r="C19" s="111">
        <v>6556</v>
      </c>
      <c r="D19" s="36">
        <f>ROUND(H19-('[6]REZERWA NA MIGRACJĘ'!$K$13-'[7]REZERWA NA MIGRACJĘ'!$K$13),0)-23</f>
        <v>6508</v>
      </c>
      <c r="E19" s="89">
        <f t="shared" si="0"/>
        <v>-48</v>
      </c>
      <c r="F19" s="90">
        <f t="shared" si="1"/>
        <v>0.9927</v>
      </c>
      <c r="H19" s="106">
        <v>6556</v>
      </c>
    </row>
    <row r="20" spans="1:8" ht="31.5" customHeight="1">
      <c r="A20" s="40" t="s">
        <v>12</v>
      </c>
      <c r="B20" s="102" t="s">
        <v>172</v>
      </c>
      <c r="C20" s="111">
        <v>108502</v>
      </c>
      <c r="D20" s="36">
        <f>ROUND(H20-('[6]REZERWA NA MIGRACJĘ'!$L$13-'[7]REZERWA NA MIGRACJĘ'!$L$13),0)</f>
        <v>112590</v>
      </c>
      <c r="E20" s="89">
        <f t="shared" si="0"/>
        <v>4088</v>
      </c>
      <c r="F20" s="90">
        <f t="shared" si="1"/>
        <v>1.0377</v>
      </c>
      <c r="H20" s="106">
        <v>113502</v>
      </c>
    </row>
    <row r="21" spans="1:8" ht="31.5" customHeight="1">
      <c r="A21" s="40" t="s">
        <v>14</v>
      </c>
      <c r="B21" s="46" t="s">
        <v>13</v>
      </c>
      <c r="C21" s="111">
        <v>51700</v>
      </c>
      <c r="D21" s="36">
        <f>H21</f>
        <v>51700</v>
      </c>
      <c r="E21" s="89" t="str">
        <f t="shared" si="0"/>
        <v>-</v>
      </c>
      <c r="F21" s="90">
        <f t="shared" si="1"/>
        <v>1</v>
      </c>
      <c r="H21" s="106">
        <v>51700</v>
      </c>
    </row>
    <row r="22" spans="1:8" ht="31.5" customHeight="1">
      <c r="A22" s="41" t="s">
        <v>15</v>
      </c>
      <c r="B22" s="102" t="s">
        <v>174</v>
      </c>
      <c r="C22" s="111">
        <v>708955</v>
      </c>
      <c r="D22" s="36">
        <f>H22-17376</f>
        <v>691579</v>
      </c>
      <c r="E22" s="89">
        <f t="shared" si="0"/>
        <v>-17376</v>
      </c>
      <c r="F22" s="90">
        <f t="shared" si="1"/>
        <v>0.9755</v>
      </c>
      <c r="H22" s="106">
        <v>708955</v>
      </c>
    </row>
    <row r="23" spans="1:8" ht="31.5" customHeight="1">
      <c r="A23" s="39" t="s">
        <v>179</v>
      </c>
      <c r="B23" s="45" t="s">
        <v>66</v>
      </c>
      <c r="C23" s="111">
        <v>4000</v>
      </c>
      <c r="D23" s="36">
        <f>H23</f>
        <v>4000</v>
      </c>
      <c r="E23" s="89" t="str">
        <f t="shared" si="0"/>
        <v>-</v>
      </c>
      <c r="F23" s="90">
        <f t="shared" si="1"/>
        <v>1</v>
      </c>
      <c r="H23" s="106">
        <v>4000</v>
      </c>
    </row>
    <row r="24" spans="1:8" ht="33" customHeight="1">
      <c r="A24" s="42" t="s">
        <v>16</v>
      </c>
      <c r="B24" s="47" t="s">
        <v>140</v>
      </c>
      <c r="C24" s="111">
        <v>0</v>
      </c>
      <c r="D24" s="36">
        <f>H24</f>
        <v>0</v>
      </c>
      <c r="E24" s="89" t="str">
        <f>IF(C24=D24,"-",D24-C24)</f>
        <v>-</v>
      </c>
      <c r="F24" s="90" t="str">
        <f>IF(C24=0,"-",D24/C24)</f>
        <v>-</v>
      </c>
      <c r="H24" s="106">
        <v>0</v>
      </c>
    </row>
    <row r="25" spans="1:8" ht="33" customHeight="1">
      <c r="A25" s="42" t="s">
        <v>137</v>
      </c>
      <c r="B25" s="48" t="s">
        <v>60</v>
      </c>
      <c r="C25" s="111">
        <v>0</v>
      </c>
      <c r="D25" s="36">
        <f>H25</f>
        <v>0</v>
      </c>
      <c r="E25" s="89" t="str">
        <f>IF(C25=D25,"-",D25-C25)</f>
        <v>-</v>
      </c>
      <c r="F25" s="90" t="str">
        <f>IF(C25=0,"-",D25/C25)</f>
        <v>-</v>
      </c>
      <c r="H25" s="106">
        <v>0</v>
      </c>
    </row>
    <row r="26" spans="1:8" ht="33" customHeight="1">
      <c r="A26" s="42" t="s">
        <v>138</v>
      </c>
      <c r="B26" s="48" t="s">
        <v>141</v>
      </c>
      <c r="C26" s="111">
        <v>190634</v>
      </c>
      <c r="D26" s="36">
        <f>ROUND('[6]REZERWA NA MIGRACJĘ'!$B$13,0)</f>
        <v>227881</v>
      </c>
      <c r="E26" s="89">
        <f>IF(C26=D26,"-",D26-C26)</f>
        <v>37247</v>
      </c>
      <c r="F26" s="90">
        <f>IF(C26=0,"-",D26/C26)</f>
        <v>1.1954</v>
      </c>
      <c r="H26" s="106">
        <v>222637</v>
      </c>
    </row>
    <row r="27" spans="1:8" ht="33" customHeight="1">
      <c r="A27" s="42" t="s">
        <v>139</v>
      </c>
      <c r="B27" s="48" t="s">
        <v>142</v>
      </c>
      <c r="C27" s="111">
        <v>0</v>
      </c>
      <c r="D27" s="36">
        <f>ROUND(H27-('[6]REZERWA NA MIGRACJĘ'!$M$13-'[7]REZERWA NA MIGRACJĘ'!$M$13),0)+23</f>
        <v>0</v>
      </c>
      <c r="E27" s="89" t="str">
        <f>IF(C27=D27,"-",D27-C27)</f>
        <v>-</v>
      </c>
      <c r="F27" s="90" t="str">
        <f>IF(C27=0,"-",D27/C27)</f>
        <v>-</v>
      </c>
      <c r="H27" s="106">
        <v>0</v>
      </c>
    </row>
    <row r="28" spans="1:8" s="5" customFormat="1" ht="31.5" customHeight="1">
      <c r="A28" s="43" t="s">
        <v>68</v>
      </c>
      <c r="B28" s="49" t="s">
        <v>69</v>
      </c>
      <c r="C28" s="112">
        <v>0</v>
      </c>
      <c r="D28" s="119">
        <f>C28</f>
        <v>0</v>
      </c>
      <c r="E28" s="15" t="str">
        <f t="shared" si="0"/>
        <v>-</v>
      </c>
      <c r="F28" s="120" t="str">
        <f t="shared" si="1"/>
        <v>-</v>
      </c>
      <c r="H28" s="106"/>
    </row>
    <row r="29" spans="1:8" s="5" customFormat="1" ht="31.5" customHeight="1">
      <c r="A29" s="43" t="s">
        <v>67</v>
      </c>
      <c r="B29" s="49" t="s">
        <v>70</v>
      </c>
      <c r="C29" s="112">
        <v>129441</v>
      </c>
      <c r="D29" s="119">
        <f>C29</f>
        <v>129441</v>
      </c>
      <c r="E29" s="15" t="str">
        <f t="shared" si="0"/>
        <v>-</v>
      </c>
      <c r="F29" s="120">
        <f t="shared" si="1"/>
        <v>1</v>
      </c>
      <c r="H29" s="106"/>
    </row>
    <row r="30" spans="1:34" s="3" customFormat="1" ht="30" customHeight="1">
      <c r="A30" s="37" t="s">
        <v>17</v>
      </c>
      <c r="B30" s="57" t="s">
        <v>18</v>
      </c>
      <c r="C30" s="34">
        <f>C31+C32+C33+C41+C42+C48+C49+C50+C47</f>
        <v>34172</v>
      </c>
      <c r="D30" s="34">
        <f>D31+D32+D33+D41+D42+D48+D49+D50+D47</f>
        <v>34172</v>
      </c>
      <c r="E30" s="13" t="str">
        <f>IF(C30=D30,"-",D30-C30)</f>
        <v>-</v>
      </c>
      <c r="F30" s="91">
        <f t="shared" si="1"/>
        <v>1</v>
      </c>
      <c r="G30" s="2"/>
      <c r="H30" s="10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8" ht="28.5" customHeight="1">
      <c r="A31" s="42" t="s">
        <v>19</v>
      </c>
      <c r="B31" s="51" t="s">
        <v>20</v>
      </c>
      <c r="C31" s="94">
        <v>1255</v>
      </c>
      <c r="D31" s="35">
        <f>C31</f>
        <v>1255</v>
      </c>
      <c r="E31" s="89" t="str">
        <f aca="true" t="shared" si="2" ref="E31:E51">IF(C31=D31,"-",D31-C31)</f>
        <v>-</v>
      </c>
      <c r="F31" s="90">
        <f t="shared" si="1"/>
        <v>1</v>
      </c>
      <c r="H31" s="106"/>
    </row>
    <row r="32" spans="1:8" ht="28.5" customHeight="1">
      <c r="A32" s="42" t="s">
        <v>21</v>
      </c>
      <c r="B32" s="51" t="s">
        <v>22</v>
      </c>
      <c r="C32" s="94">
        <v>3521</v>
      </c>
      <c r="D32" s="35">
        <f>C32</f>
        <v>3521</v>
      </c>
      <c r="E32" s="89" t="str">
        <f t="shared" si="2"/>
        <v>-</v>
      </c>
      <c r="F32" s="90">
        <f t="shared" si="1"/>
        <v>1</v>
      </c>
      <c r="H32" s="106"/>
    </row>
    <row r="33" spans="1:8" ht="28.5" customHeight="1">
      <c r="A33" s="42" t="s">
        <v>23</v>
      </c>
      <c r="B33" s="52" t="s">
        <v>37</v>
      </c>
      <c r="C33" s="35">
        <f>C34+C36+C37+C38+C39+C40</f>
        <v>219</v>
      </c>
      <c r="D33" s="35">
        <f>D34+D36+D37+D38+D39+D40</f>
        <v>219</v>
      </c>
      <c r="E33" s="89" t="str">
        <f t="shared" si="2"/>
        <v>-</v>
      </c>
      <c r="F33" s="90">
        <f t="shared" si="1"/>
        <v>1</v>
      </c>
      <c r="H33" s="106"/>
    </row>
    <row r="34" spans="1:8" ht="28.5" customHeight="1">
      <c r="A34" s="53" t="s">
        <v>45</v>
      </c>
      <c r="B34" s="54" t="s">
        <v>38</v>
      </c>
      <c r="C34" s="94">
        <v>20</v>
      </c>
      <c r="D34" s="35">
        <f>C34</f>
        <v>20</v>
      </c>
      <c r="E34" s="89" t="str">
        <f t="shared" si="2"/>
        <v>-</v>
      </c>
      <c r="F34" s="90">
        <f t="shared" si="1"/>
        <v>1</v>
      </c>
      <c r="H34" s="106"/>
    </row>
    <row r="35" spans="1:8" ht="28.5" customHeight="1">
      <c r="A35" s="53" t="s">
        <v>46</v>
      </c>
      <c r="B35" s="55" t="s">
        <v>39</v>
      </c>
      <c r="C35" s="94">
        <v>20</v>
      </c>
      <c r="D35" s="35">
        <f aca="true" t="shared" si="3" ref="D35:D47">C35</f>
        <v>20</v>
      </c>
      <c r="E35" s="89" t="str">
        <f t="shared" si="2"/>
        <v>-</v>
      </c>
      <c r="F35" s="90">
        <f t="shared" si="1"/>
        <v>1</v>
      </c>
      <c r="H35" s="106"/>
    </row>
    <row r="36" spans="1:8" ht="28.5" customHeight="1">
      <c r="A36" s="53" t="s">
        <v>47</v>
      </c>
      <c r="B36" s="54" t="s">
        <v>40</v>
      </c>
      <c r="C36" s="94">
        <v>0</v>
      </c>
      <c r="D36" s="35">
        <f t="shared" si="3"/>
        <v>0</v>
      </c>
      <c r="E36" s="89" t="str">
        <f t="shared" si="2"/>
        <v>-</v>
      </c>
      <c r="F36" s="90" t="str">
        <f t="shared" si="1"/>
        <v>-</v>
      </c>
      <c r="H36" s="106"/>
    </row>
    <row r="37" spans="1:8" ht="28.5" customHeight="1">
      <c r="A37" s="53" t="s">
        <v>48</v>
      </c>
      <c r="B37" s="54" t="s">
        <v>41</v>
      </c>
      <c r="C37" s="94">
        <v>0</v>
      </c>
      <c r="D37" s="35">
        <f t="shared" si="3"/>
        <v>0</v>
      </c>
      <c r="E37" s="89" t="str">
        <f t="shared" si="2"/>
        <v>-</v>
      </c>
      <c r="F37" s="90" t="str">
        <f t="shared" si="1"/>
        <v>-</v>
      </c>
      <c r="H37" s="106"/>
    </row>
    <row r="38" spans="1:8" ht="28.5" customHeight="1">
      <c r="A38" s="53" t="s">
        <v>49</v>
      </c>
      <c r="B38" s="54" t="s">
        <v>42</v>
      </c>
      <c r="C38" s="94">
        <v>0</v>
      </c>
      <c r="D38" s="35">
        <f t="shared" si="3"/>
        <v>0</v>
      </c>
      <c r="E38" s="89" t="str">
        <f t="shared" si="2"/>
        <v>-</v>
      </c>
      <c r="F38" s="90" t="str">
        <f t="shared" si="1"/>
        <v>-</v>
      </c>
      <c r="H38" s="106"/>
    </row>
    <row r="39" spans="1:8" ht="28.5" customHeight="1">
      <c r="A39" s="53" t="s">
        <v>50</v>
      </c>
      <c r="B39" s="54" t="s">
        <v>43</v>
      </c>
      <c r="C39" s="94">
        <v>181</v>
      </c>
      <c r="D39" s="35">
        <f t="shared" si="3"/>
        <v>181</v>
      </c>
      <c r="E39" s="89" t="str">
        <f t="shared" si="2"/>
        <v>-</v>
      </c>
      <c r="F39" s="90">
        <f t="shared" si="1"/>
        <v>1</v>
      </c>
      <c r="H39" s="106"/>
    </row>
    <row r="40" spans="1:8" ht="28.5" customHeight="1">
      <c r="A40" s="53" t="s">
        <v>51</v>
      </c>
      <c r="B40" s="54" t="s">
        <v>44</v>
      </c>
      <c r="C40" s="94">
        <v>18</v>
      </c>
      <c r="D40" s="35">
        <f t="shared" si="3"/>
        <v>18</v>
      </c>
      <c r="E40" s="89" t="str">
        <f t="shared" si="2"/>
        <v>-</v>
      </c>
      <c r="F40" s="90">
        <f t="shared" si="1"/>
        <v>1</v>
      </c>
      <c r="H40" s="106"/>
    </row>
    <row r="41" spans="1:8" ht="28.5" customHeight="1">
      <c r="A41" s="42" t="s">
        <v>24</v>
      </c>
      <c r="B41" s="51" t="s">
        <v>25</v>
      </c>
      <c r="C41" s="35">
        <v>21016</v>
      </c>
      <c r="D41" s="35">
        <f t="shared" si="3"/>
        <v>21016</v>
      </c>
      <c r="E41" s="89" t="str">
        <f t="shared" si="2"/>
        <v>-</v>
      </c>
      <c r="F41" s="90">
        <f t="shared" si="1"/>
        <v>1</v>
      </c>
      <c r="H41" s="106"/>
    </row>
    <row r="42" spans="1:8" ht="28.5" customHeight="1">
      <c r="A42" s="42" t="s">
        <v>26</v>
      </c>
      <c r="B42" s="52" t="s">
        <v>61</v>
      </c>
      <c r="C42" s="110">
        <f>C43+C44+C45+C46</f>
        <v>4245</v>
      </c>
      <c r="D42" s="35">
        <f>SUM(D43:D46)</f>
        <v>4245</v>
      </c>
      <c r="E42" s="89" t="str">
        <f t="shared" si="2"/>
        <v>-</v>
      </c>
      <c r="F42" s="90">
        <f t="shared" si="1"/>
        <v>1</v>
      </c>
      <c r="H42" s="106"/>
    </row>
    <row r="43" spans="1:8" ht="28.5" customHeight="1">
      <c r="A43" s="53" t="s">
        <v>56</v>
      </c>
      <c r="B43" s="54" t="s">
        <v>52</v>
      </c>
      <c r="C43" s="35">
        <v>3192</v>
      </c>
      <c r="D43" s="35">
        <f>C43</f>
        <v>3192</v>
      </c>
      <c r="E43" s="89" t="str">
        <f t="shared" si="2"/>
        <v>-</v>
      </c>
      <c r="F43" s="90">
        <f t="shared" si="1"/>
        <v>1</v>
      </c>
      <c r="H43" s="106"/>
    </row>
    <row r="44" spans="1:8" ht="28.5" customHeight="1">
      <c r="A44" s="53" t="s">
        <v>57</v>
      </c>
      <c r="B44" s="54" t="s">
        <v>53</v>
      </c>
      <c r="C44" s="35">
        <v>515</v>
      </c>
      <c r="D44" s="35">
        <f>C44</f>
        <v>515</v>
      </c>
      <c r="E44" s="89" t="str">
        <f t="shared" si="2"/>
        <v>-</v>
      </c>
      <c r="F44" s="90">
        <f t="shared" si="1"/>
        <v>1</v>
      </c>
      <c r="H44" s="106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3"/>
        <v>0</v>
      </c>
      <c r="E45" s="89" t="str">
        <f t="shared" si="2"/>
        <v>-</v>
      </c>
      <c r="F45" s="90" t="str">
        <f t="shared" si="1"/>
        <v>-</v>
      </c>
      <c r="H45" s="106"/>
    </row>
    <row r="46" spans="1:8" ht="28.5" customHeight="1">
      <c r="A46" s="53" t="s">
        <v>59</v>
      </c>
      <c r="B46" s="54" t="s">
        <v>55</v>
      </c>
      <c r="C46" s="35">
        <v>538</v>
      </c>
      <c r="D46" s="35">
        <f>C46</f>
        <v>538</v>
      </c>
      <c r="E46" s="89" t="str">
        <f t="shared" si="2"/>
        <v>-</v>
      </c>
      <c r="F46" s="90">
        <f t="shared" si="1"/>
        <v>1</v>
      </c>
      <c r="H46" s="106"/>
    </row>
    <row r="47" spans="1:8" ht="28.5" customHeight="1">
      <c r="A47" s="42" t="s">
        <v>27</v>
      </c>
      <c r="B47" s="51" t="s">
        <v>28</v>
      </c>
      <c r="C47" s="94">
        <v>0</v>
      </c>
      <c r="D47" s="35">
        <f t="shared" si="3"/>
        <v>0</v>
      </c>
      <c r="E47" s="89" t="str">
        <f t="shared" si="2"/>
        <v>-</v>
      </c>
      <c r="F47" s="90" t="str">
        <f aca="true" t="shared" si="4" ref="F47:F55">IF(C47=0,"-",D47/C47)</f>
        <v>-</v>
      </c>
      <c r="H47" s="106"/>
    </row>
    <row r="48" spans="1:8" ht="48" customHeight="1">
      <c r="A48" s="42" t="s">
        <v>29</v>
      </c>
      <c r="B48" s="51" t="s">
        <v>116</v>
      </c>
      <c r="C48" s="111">
        <v>3353</v>
      </c>
      <c r="D48" s="35">
        <f>C48</f>
        <v>3353</v>
      </c>
      <c r="E48" s="89" t="str">
        <f t="shared" si="2"/>
        <v>-</v>
      </c>
      <c r="F48" s="92">
        <f t="shared" si="4"/>
        <v>1</v>
      </c>
      <c r="H48" s="106"/>
    </row>
    <row r="49" spans="1:8" ht="43.5" customHeight="1">
      <c r="A49" s="42" t="s">
        <v>30</v>
      </c>
      <c r="B49" s="51" t="s">
        <v>31</v>
      </c>
      <c r="C49" s="111">
        <v>263</v>
      </c>
      <c r="D49" s="35">
        <f>C49</f>
        <v>263</v>
      </c>
      <c r="E49" s="89" t="str">
        <f t="shared" si="2"/>
        <v>-</v>
      </c>
      <c r="F49" s="92">
        <f t="shared" si="4"/>
        <v>1</v>
      </c>
      <c r="H49" s="106"/>
    </row>
    <row r="50" spans="1:8" ht="35.25" customHeight="1">
      <c r="A50" s="42" t="s">
        <v>32</v>
      </c>
      <c r="B50" s="51" t="s">
        <v>33</v>
      </c>
      <c r="C50" s="94">
        <v>300</v>
      </c>
      <c r="D50" s="35">
        <f>C50</f>
        <v>300</v>
      </c>
      <c r="E50" s="89" t="str">
        <f t="shared" si="2"/>
        <v>-</v>
      </c>
      <c r="F50" s="90">
        <f t="shared" si="4"/>
        <v>1</v>
      </c>
      <c r="H50" s="106"/>
    </row>
    <row r="51" spans="1:34" s="3" customFormat="1" ht="30" customHeight="1">
      <c r="A51" s="44" t="s">
        <v>34</v>
      </c>
      <c r="B51" s="56" t="s">
        <v>175</v>
      </c>
      <c r="C51" s="38">
        <f>SUM(C52:C55)</f>
        <v>19335</v>
      </c>
      <c r="D51" s="38">
        <f>SUM(D52:D55)</f>
        <v>19335</v>
      </c>
      <c r="E51" s="13" t="str">
        <f t="shared" si="2"/>
        <v>-</v>
      </c>
      <c r="F51" s="93">
        <f t="shared" si="4"/>
        <v>1</v>
      </c>
      <c r="G51" s="2"/>
      <c r="H51" s="10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8" ht="42" customHeight="1">
      <c r="A52" s="42" t="s">
        <v>119</v>
      </c>
      <c r="B52" s="51" t="s">
        <v>144</v>
      </c>
      <c r="C52" s="94">
        <v>40</v>
      </c>
      <c r="D52" s="35">
        <f>C52</f>
        <v>40</v>
      </c>
      <c r="E52" s="94" t="str">
        <f>IF(C52=D52,"-",D52-C52)</f>
        <v>-</v>
      </c>
      <c r="F52" s="100">
        <f t="shared" si="4"/>
        <v>1</v>
      </c>
      <c r="H52" s="106"/>
    </row>
    <row r="53" spans="1:8" ht="31.5" customHeight="1">
      <c r="A53" s="42" t="s">
        <v>35</v>
      </c>
      <c r="B53" s="51" t="s">
        <v>63</v>
      </c>
      <c r="C53" s="94">
        <v>18295</v>
      </c>
      <c r="D53" s="35">
        <f>C53</f>
        <v>18295</v>
      </c>
      <c r="E53" s="94" t="str">
        <f>IF(C53=D53,"-",D53-C53)</f>
        <v>-</v>
      </c>
      <c r="F53" s="100">
        <f t="shared" si="4"/>
        <v>1</v>
      </c>
      <c r="H53" s="106"/>
    </row>
    <row r="54" spans="1:8" ht="31.5" customHeight="1">
      <c r="A54" s="42" t="s">
        <v>36</v>
      </c>
      <c r="B54" s="51" t="s">
        <v>121</v>
      </c>
      <c r="C54" s="94">
        <v>0</v>
      </c>
      <c r="D54" s="35">
        <f>C54</f>
        <v>0</v>
      </c>
      <c r="E54" s="94" t="str">
        <f>IF(C54=D54,"-",D54-C54)</f>
        <v>-</v>
      </c>
      <c r="F54" s="100" t="str">
        <f t="shared" si="4"/>
        <v>-</v>
      </c>
      <c r="H54" s="106"/>
    </row>
    <row r="55" spans="1:8" ht="31.5" customHeight="1">
      <c r="A55" s="42" t="s">
        <v>120</v>
      </c>
      <c r="B55" s="51" t="s">
        <v>122</v>
      </c>
      <c r="C55" s="94">
        <v>1000</v>
      </c>
      <c r="D55" s="35">
        <f>C55</f>
        <v>1000</v>
      </c>
      <c r="E55" s="94" t="str">
        <f>IF(C55=D55,"-",D55-C55)</f>
        <v>-</v>
      </c>
      <c r="F55" s="100">
        <f t="shared" si="4"/>
        <v>1</v>
      </c>
      <c r="H55" s="106"/>
    </row>
    <row r="56" spans="1:8" ht="32.25" customHeight="1">
      <c r="A56" s="44" t="s">
        <v>127</v>
      </c>
      <c r="B56" s="56" t="s">
        <v>155</v>
      </c>
      <c r="C56" s="113">
        <v>177</v>
      </c>
      <c r="D56" s="38">
        <f>C56</f>
        <v>177</v>
      </c>
      <c r="E56" s="13" t="str">
        <f>IF(C56=D56,"-",D56-C56)</f>
        <v>-</v>
      </c>
      <c r="F56" s="93">
        <f>IF(C56=0,"-",D56/C56)</f>
        <v>1</v>
      </c>
      <c r="H56" s="106"/>
    </row>
    <row r="57" ht="12.75">
      <c r="H57" s="106"/>
    </row>
    <row r="58" ht="12.75">
      <c r="H58" s="106"/>
    </row>
    <row r="59" ht="12.75">
      <c r="H59" s="106"/>
    </row>
    <row r="60" ht="12.75">
      <c r="H60" s="106"/>
    </row>
    <row r="61" ht="12.75">
      <c r="H61" s="106"/>
    </row>
    <row r="62" ht="12.75">
      <c r="H62" s="106"/>
    </row>
    <row r="63" ht="12.75">
      <c r="H63" s="106"/>
    </row>
    <row r="64" ht="12.75">
      <c r="H64" s="106"/>
    </row>
    <row r="65" ht="12.75">
      <c r="H65" s="106"/>
    </row>
    <row r="66" ht="12.75">
      <c r="H66" s="106"/>
    </row>
    <row r="67" ht="12.75">
      <c r="H67" s="106"/>
    </row>
    <row r="68" ht="12.75">
      <c r="H68" s="106"/>
    </row>
    <row r="69" ht="12.75">
      <c r="H69" s="106"/>
    </row>
    <row r="70" ht="12.75">
      <c r="H70" s="106"/>
    </row>
    <row r="71" ht="12.75">
      <c r="H71" s="106"/>
    </row>
    <row r="72" ht="12.75">
      <c r="H72" s="106"/>
    </row>
    <row r="73" ht="12.75">
      <c r="H73" s="106"/>
    </row>
    <row r="74" ht="12.75">
      <c r="H74" s="106"/>
    </row>
    <row r="75" ht="12.75">
      <c r="H75" s="106"/>
    </row>
    <row r="76" ht="12.75">
      <c r="H76" s="106"/>
    </row>
    <row r="77" ht="12.75">
      <c r="H77" s="106"/>
    </row>
    <row r="78" ht="12.75">
      <c r="H78" s="106"/>
    </row>
    <row r="79" ht="12.75">
      <c r="H79" s="106"/>
    </row>
    <row r="80" ht="12.75">
      <c r="H80" s="106"/>
    </row>
    <row r="81" ht="12.75">
      <c r="H81" s="106"/>
    </row>
    <row r="82" ht="12.75">
      <c r="H82" s="106"/>
    </row>
    <row r="83" ht="12.75">
      <c r="H83" s="106"/>
    </row>
    <row r="84" ht="12.75">
      <c r="H84" s="106"/>
    </row>
    <row r="85" ht="12.75">
      <c r="H85" s="106"/>
    </row>
    <row r="86" ht="12.75">
      <c r="H86" s="106"/>
    </row>
    <row r="87" ht="12.75">
      <c r="H87" s="106"/>
    </row>
    <row r="88" ht="12.75">
      <c r="H88" s="106"/>
    </row>
    <row r="89" ht="12.75">
      <c r="H89" s="106"/>
    </row>
    <row r="90" ht="12.75">
      <c r="H90" s="106"/>
    </row>
    <row r="91" ht="12.75">
      <c r="H91" s="106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NFZ</cp:lastModifiedBy>
  <cp:lastPrinted>2009-12-15T06:53:10Z</cp:lastPrinted>
  <dcterms:created xsi:type="dcterms:W3CDTF">2005-07-21T09:51:05Z</dcterms:created>
  <dcterms:modified xsi:type="dcterms:W3CDTF">2009-12-17T13:59:31Z</dcterms:modified>
  <cp:category/>
  <cp:version/>
  <cp:contentType/>
  <cp:contentStatus/>
</cp:coreProperties>
</file>