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state="hidden" r:id="rId20"/>
    <sheet name="Arkusz1" sheetId="21" r:id="rId21"/>
  </sheets>
  <externalReferences>
    <externalReference r:id="rId24"/>
    <externalReference r:id="rId25"/>
    <externalReference r:id="rId26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'zbiorczo'!$A$1:$U$55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<sst xmlns="http://schemas.openxmlformats.org/spreadsheetml/2006/main" count="2338" uniqueCount="225">
  <si>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</si>
  <si>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</si>
  <si>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</si>
  <si>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</si>
  <si>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</si>
  <si>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</si>
  <si>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</si>
  <si>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</si>
  <si>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</si>
  <si>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</si>
  <si>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</si>
  <si>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</si>
  <si>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</si>
  <si>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</si>
  <si>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</si>
  <si>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</si>
  <si>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</si>
  <si>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</si>
  <si>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</si>
  <si>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</si>
  <si>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</si>
  <si>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</si>
  <si>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</si>
  <si>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</si>
  <si>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</si>
  <si>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</si>
  <si>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</si>
  <si>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</si>
  <si>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</si>
  <si>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</si>
  <si>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</si>
  <si>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</si>
  <si>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</si>
  <si>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</si>
  <si>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</si>
  <si>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</si>
  <si>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</si>
  <si>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</si>
  <si>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</si>
  <si>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</si>
  <si>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</si>
  <si>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</si>
  <si>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</si>
  <si>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</si>
  <si>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</si>
  <si>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</si>
  <si>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</si>
  <si>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</si>
  <si>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</si>
  <si>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</si>
  <si>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</si>
  <si>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</si>
  <si>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</si>
  <si>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</si>
  <si>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</si>
  <si>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</si>
  <si>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</si>
  <si>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</si>
  <si>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</si>
  <si>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</si>
  <si>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</si>
  <si>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</si>
  <si>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</si>
  <si>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</si>
  <si>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</si>
  <si>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</si>
  <si>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</si>
  <si>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</si>
  <si>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</si>
  <si>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</si>
  <si>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</si>
  <si>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</si>
  <si>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</si>
  <si>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</si>
  <si>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</si>
  <si>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</si>
  <si>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</si>
  <si>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</si>
  <si>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</si>
  <si>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</si>
  <si>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</si>
  <si>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</si>
  <si>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</si>
  <si>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</si>
  <si>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</si>
  <si>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</si>
  <si>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</si>
  <si>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</si>
  <si>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</si>
  <si>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</si>
  <si>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</si>
  <si>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</si>
  <si>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</si>
  <si>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</si>
  <si>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</si>
  <si>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</si>
  <si>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</si>
  <si>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</si>
  <si>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</si>
  <si>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</si>
  <si>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</si>
  <si>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</si>
  <si>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</si>
  <si>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</si>
  <si>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</si>
  <si>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</si>
  <si>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</si>
  <si>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</si>
  <si>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</si>
  <si>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</si>
  <si>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</si>
  <si>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</si>
  <si>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</si>
  <si>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</si>
  <si>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</si>
  <si>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</si>
  <si>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</si>
  <si>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</si>
  <si>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</si>
  <si>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</si>
  <si>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</si>
  <si>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</si>
  <si>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</si>
  <si>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</si>
  <si>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</si>
  <si>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</si>
  <si>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</si>
  <si>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</si>
  <si>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</si>
  <si>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</si>
  <si>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</si>
  <si>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</si>
  <si>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</si>
  <si>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</si>
  <si>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</si>
  <si>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</si>
  <si>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</si>
  <si>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</si>
  <si>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</si>
  <si>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</si>
  <si>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</si>
  <si>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</si>
  <si>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</si>
  <si>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</si>
  <si>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</si>
  <si>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</si>
  <si>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</si>
  <si>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</si>
  <si>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</si>
  <si>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</si>
  <si>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</si>
  <si>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</si>
  <si>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</si>
  <si>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</si>
  <si>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</si>
  <si>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</si>
  <si>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</si>
  <si>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</si>
  <si>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</si>
  <si>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</si>
  <si>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</si>
  <si>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</si>
  <si>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</si>
  <si>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</si>
  <si>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</si>
  <si>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</si>
  <si>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</si>
  <si>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</si>
  <si>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</si>
  <si>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</si>
  <si>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</si>
  <si>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</si>
  <si>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</si>
  <si>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</si>
  <si>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</si>
  <si>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</si>
  <si>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</si>
  <si>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</si>
  <si>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</si>
  <si>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</si>
  <si>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</si>
  <si>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</si>
  <si>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</si>
  <si>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</si>
  <si>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</si>
  <si>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</si>
  <si>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</si>
  <si>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</si>
  <si>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</si>
  <si>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</si>
  <si>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</si>
  <si>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</si>
  <si>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Koszty Centrali Narodowego Funduszu Zdrowia</t>
  </si>
  <si>
    <t>[w tys. zł]</t>
  </si>
  <si>
    <t>Plan 
po zmianie</t>
  </si>
  <si>
    <t>Różnica 
kol.4-kol.3</t>
  </si>
  <si>
    <t>Dynamika
kol.4/kol.3</t>
  </si>
  <si>
    <t>4</t>
  </si>
  <si>
    <t>5</t>
  </si>
  <si>
    <t>6</t>
  </si>
  <si>
    <t xml:space="preserve"> </t>
  </si>
  <si>
    <t>Plan na
2011 rok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</si>
  <si>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</si>
  <si>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</si>
  <si>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OW NFZ RAZEM</t>
  </si>
  <si>
    <t>Lubuski</t>
  </si>
  <si>
    <t>Wielkopolski</t>
  </si>
  <si>
    <t>Centrala</t>
  </si>
  <si>
    <t>Dolnośląski</t>
  </si>
  <si>
    <t>Kujawsko-Pomorski</t>
  </si>
  <si>
    <t>Lubelski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</si>
  <si>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</si>
  <si>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</si>
  <si>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</si>
  <si>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</si>
  <si>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</si>
  <si>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</si>
  <si>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</si>
  <si>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</si>
  <si>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</si>
  <si>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</si>
  <si>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Zachodniopomorski</t>
  </si>
  <si>
    <t>+</t>
  </si>
  <si>
    <t>NFZ</t>
  </si>
  <si>
    <t>Zmiana planu finansowego Narodowego Funduszu Zdrowia na 2011 r. z dnia 29 grudnia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</si>
</sst>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0%"/>
    <numFmt numFmtId="169" formatCode="0.0%"/>
    <numFmt numFmtId="170" formatCode="0.000%"/>
    <numFmt numFmtId="171" formatCode="#,##0.0"/>
    <numFmt numFmtId="172" formatCode="0.0"/>
  </numFmts>
  <fonts count="7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 CE"/>
      <family val="0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24"/>
      <name val="Times New Roman"/>
      <family val="1"/>
    </font>
    <font>
      <sz val="24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5" applyFont="1" applyFill="1" applyBorder="1" applyAlignment="1" applyProtection="1">
      <alignment horizontal="left" vertical="center" wrapText="1" indent="2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3" fillId="34" borderId="10" xfId="68" applyFont="1" applyFill="1" applyBorder="1" applyAlignment="1" applyProtection="1">
      <alignment horizontal="center" vertical="center" wrapText="1"/>
      <protection/>
    </xf>
    <xf numFmtId="0" fontId="23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3" fillId="34" borderId="10" xfId="68" applyFont="1" applyFill="1" applyBorder="1" applyAlignment="1" applyProtection="1" quotePrefix="1">
      <alignment horizontal="center" vertical="center" wrapText="1"/>
      <protection/>
    </xf>
    <xf numFmtId="0" fontId="23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3" fillId="34" borderId="10" xfId="67" applyFont="1" applyFill="1" applyBorder="1" applyAlignment="1" applyProtection="1">
      <alignment horizontal="center" vertical="center" wrapText="1"/>
      <protection/>
    </xf>
    <xf numFmtId="0" fontId="23" fillId="34" borderId="10" xfId="67" applyFont="1" applyFill="1" applyBorder="1" applyAlignment="1" applyProtection="1">
      <alignment horizontal="left" vertical="center" wrapText="1" indent="1"/>
      <protection/>
    </xf>
    <xf numFmtId="0" fontId="23" fillId="34" borderId="11" xfId="67" applyFont="1" applyFill="1" applyBorder="1" applyAlignment="1" applyProtection="1">
      <alignment horizontal="left" vertical="center" wrapText="1" indent="1"/>
      <protection/>
    </xf>
    <xf numFmtId="0" fontId="23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169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33" fillId="34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32" fillId="36" borderId="10" xfId="65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5" fillId="34" borderId="0" xfId="0" applyFont="1" applyFill="1" applyAlignment="1" applyProtection="1">
      <alignment horizontal="center" vertical="center"/>
      <protection locked="0"/>
    </xf>
    <xf numFmtId="49" fontId="36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34" borderId="10" xfId="0" applyNumberFormat="1" applyFont="1" applyFill="1" applyBorder="1" applyAlignment="1">
      <alignment horizontal="right" vertical="center"/>
    </xf>
    <xf numFmtId="0" fontId="3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34" borderId="0" xfId="0" applyFont="1" applyFill="1" applyAlignment="1" applyProtection="1">
      <alignment horizontal="center" vertical="center"/>
      <protection locked="0"/>
    </xf>
    <xf numFmtId="0" fontId="40" fillId="34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32" fillId="36" borderId="10" xfId="0" applyFont="1" applyFill="1" applyBorder="1" applyAlignment="1">
      <alignment horizontal="center" vertical="center" textRotation="90" wrapText="1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34" borderId="10" xfId="68" applyNumberFormat="1" applyFont="1" applyFill="1" applyBorder="1" applyAlignment="1" applyProtection="1">
      <alignment horizontal="right" vertical="center" wrapText="1"/>
      <protection/>
    </xf>
    <xf numFmtId="3" fontId="25" fillId="0" borderId="0" xfId="0" applyNumberFormat="1" applyFont="1" applyFill="1" applyAlignment="1">
      <alignment/>
    </xf>
    <xf numFmtId="10" fontId="27" fillId="0" borderId="0" xfId="70" applyNumberFormat="1" applyFont="1" applyFill="1" applyAlignment="1" applyProtection="1">
      <alignment vertical="center"/>
      <protection locked="0"/>
    </xf>
    <xf numFmtId="4" fontId="13" fillId="34" borderId="1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Alignment="1" applyProtection="1">
      <alignment vertical="center"/>
      <protection locked="0"/>
    </xf>
    <xf numFmtId="2" fontId="4" fillId="0" borderId="0" xfId="0" applyNumberFormat="1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11" fillId="34" borderId="13" xfId="66" applyNumberFormat="1" applyFont="1" applyFill="1" applyBorder="1" applyAlignment="1">
      <alignment horizontal="center" vertical="center" wrapText="1"/>
      <protection/>
    </xf>
    <xf numFmtId="3" fontId="11" fillId="34" borderId="14" xfId="66" applyNumberFormat="1" applyFont="1" applyFill="1" applyBorder="1" applyAlignment="1">
      <alignment horizontal="center" vertical="center" wrapText="1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111"/>
  <sheetViews>
    <sheetView showGridLines="0" tabSelected="1" view="pageBreakPreview" zoomScale="55" zoomScaleNormal="60" zoomScaleSheetLayoutView="55" zoomScalePageLayoutView="0" workbookViewId="0" topLeftCell="A1">
      <pane xSplit="2" ySplit="6" topLeftCell="C70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2.75390625" style="22" customWidth="1"/>
    <col min="2" max="2" width="117.75390625" style="22" customWidth="1"/>
    <col min="3" max="3" width="27.75390625" style="7" customWidth="1"/>
    <col min="4" max="4" width="26.125" style="7" customWidth="1"/>
    <col min="5" max="5" width="24.375" style="7" customWidth="1"/>
    <col min="6" max="6" width="25.375" style="7" customWidth="1"/>
    <col min="7" max="7" width="15.375" style="8" customWidth="1"/>
    <col min="8" max="8" width="13.875" style="8" customWidth="1"/>
    <col min="9" max="9" width="8.125" style="7" customWidth="1"/>
    <col min="10" max="10" width="11.00390625" style="7" bestFit="1" customWidth="1"/>
    <col min="11" max="16384" width="9.125" style="7" customWidth="1"/>
  </cols>
  <sheetData>
    <row r="1" spans="1:8" s="135" customFormat="1" ht="33.75" customHeight="1">
      <c r="A1" s="155" t="s">
        <v>224</v>
      </c>
      <c r="B1" s="155"/>
      <c r="C1" s="155"/>
      <c r="D1" s="155"/>
      <c r="E1" s="155"/>
      <c r="F1" s="155"/>
      <c r="G1" s="134"/>
      <c r="H1" s="134"/>
    </row>
    <row r="2" spans="1:8" s="105" customFormat="1" ht="33.75" customHeight="1">
      <c r="A2" s="157" t="s">
        <v>134</v>
      </c>
      <c r="B2" s="157"/>
      <c r="C2" s="158"/>
      <c r="G2" s="136"/>
      <c r="H2" s="136"/>
    </row>
    <row r="3" spans="1:6" s="139" customFormat="1" ht="30" customHeight="1">
      <c r="A3" s="137"/>
      <c r="B3" s="138"/>
      <c r="C3" s="95"/>
      <c r="D3" s="95"/>
      <c r="E3" s="95"/>
      <c r="F3" s="95" t="s">
        <v>193</v>
      </c>
    </row>
    <row r="4" spans="1:8" s="9" customFormat="1" ht="49.5" customHeight="1">
      <c r="A4" s="159" t="s">
        <v>158</v>
      </c>
      <c r="B4" s="159" t="s">
        <v>62</v>
      </c>
      <c r="C4" s="160" t="s">
        <v>201</v>
      </c>
      <c r="D4" s="162" t="s">
        <v>194</v>
      </c>
      <c r="E4" s="156" t="s">
        <v>202</v>
      </c>
      <c r="F4" s="156" t="s">
        <v>203</v>
      </c>
      <c r="G4" s="124"/>
      <c r="H4" s="124"/>
    </row>
    <row r="5" spans="1:8" s="9" customFormat="1" ht="49.5" customHeight="1">
      <c r="A5" s="159"/>
      <c r="B5" s="159"/>
      <c r="C5" s="161"/>
      <c r="D5" s="163"/>
      <c r="E5" s="156"/>
      <c r="F5" s="156"/>
      <c r="G5" s="124"/>
      <c r="H5" s="124"/>
    </row>
    <row r="6" spans="1:8" s="10" customFormat="1" ht="19.5" customHeight="1">
      <c r="A6" s="51">
        <v>1</v>
      </c>
      <c r="B6" s="55">
        <v>2</v>
      </c>
      <c r="C6" s="55" t="s">
        <v>87</v>
      </c>
      <c r="D6" s="25" t="s">
        <v>197</v>
      </c>
      <c r="E6" s="25" t="s">
        <v>198</v>
      </c>
      <c r="F6" s="25" t="s">
        <v>199</v>
      </c>
      <c r="G6" s="125"/>
      <c r="H6" s="125"/>
    </row>
    <row r="7" spans="1:8" s="12" customFormat="1" ht="63.75" customHeight="1">
      <c r="A7" s="56">
        <v>1</v>
      </c>
      <c r="B7" s="57" t="s">
        <v>156</v>
      </c>
      <c r="C7" s="11">
        <f>C8+C9</f>
        <v>58052484</v>
      </c>
      <c r="D7" s="11">
        <f>D8+D9</f>
        <v>58019854</v>
      </c>
      <c r="E7" s="11">
        <f>IF(C7=D7,"-",D7-C7)</f>
        <v>-32630</v>
      </c>
      <c r="F7" s="106">
        <f>IF(C7=0,"-",D7/C7)</f>
        <v>0.9994</v>
      </c>
      <c r="G7" s="126"/>
      <c r="H7" s="127"/>
    </row>
    <row r="8" spans="1:8" ht="30" customHeight="1">
      <c r="A8" s="58" t="s">
        <v>89</v>
      </c>
      <c r="B8" s="59" t="s">
        <v>90</v>
      </c>
      <c r="C8" s="13">
        <v>54900086</v>
      </c>
      <c r="D8" s="13">
        <f>C8</f>
        <v>54900086</v>
      </c>
      <c r="E8" s="13" t="str">
        <f aca="true" t="shared" si="0" ref="E8:E71">IF(C8=D8,"-",D8-C8)</f>
        <v>-</v>
      </c>
      <c r="F8" s="107">
        <f aca="true" t="shared" si="1" ref="F8:F71">IF(C8=0,"-",D8/C8)</f>
        <v>1</v>
      </c>
      <c r="H8" s="127"/>
    </row>
    <row r="9" spans="1:8" ht="30" customHeight="1">
      <c r="A9" s="58" t="s">
        <v>91</v>
      </c>
      <c r="B9" s="59" t="s">
        <v>92</v>
      </c>
      <c r="C9" s="13">
        <v>3152398</v>
      </c>
      <c r="D9" s="13">
        <f>C9-32630</f>
        <v>3119768</v>
      </c>
      <c r="E9" s="13">
        <f t="shared" si="0"/>
        <v>-32630</v>
      </c>
      <c r="F9" s="107">
        <f t="shared" si="1"/>
        <v>0.9896</v>
      </c>
      <c r="H9" s="127"/>
    </row>
    <row r="10" spans="1:8" s="12" customFormat="1" ht="63.75" customHeight="1">
      <c r="A10" s="56">
        <v>2</v>
      </c>
      <c r="B10" s="57" t="s">
        <v>151</v>
      </c>
      <c r="C10" s="11">
        <f>C11+C12</f>
        <v>0</v>
      </c>
      <c r="D10" s="11">
        <f>D11+D12</f>
        <v>0</v>
      </c>
      <c r="E10" s="11" t="str">
        <f t="shared" si="0"/>
        <v>-</v>
      </c>
      <c r="F10" s="106" t="str">
        <f t="shared" si="1"/>
        <v>-</v>
      </c>
      <c r="G10" s="126"/>
      <c r="H10" s="127"/>
    </row>
    <row r="11" spans="1:8" ht="30" customHeight="1">
      <c r="A11" s="58" t="s">
        <v>93</v>
      </c>
      <c r="B11" s="59" t="s">
        <v>94</v>
      </c>
      <c r="C11" s="13">
        <v>0</v>
      </c>
      <c r="D11" s="13">
        <f>C11</f>
        <v>0</v>
      </c>
      <c r="E11" s="13" t="str">
        <f t="shared" si="0"/>
        <v>-</v>
      </c>
      <c r="F11" s="107" t="str">
        <f t="shared" si="1"/>
        <v>-</v>
      </c>
      <c r="H11" s="127"/>
    </row>
    <row r="12" spans="1:8" ht="30" customHeight="1">
      <c r="A12" s="58" t="s">
        <v>95</v>
      </c>
      <c r="B12" s="59" t="s">
        <v>96</v>
      </c>
      <c r="C12" s="13">
        <v>0</v>
      </c>
      <c r="D12" s="13">
        <f>C12</f>
        <v>0</v>
      </c>
      <c r="E12" s="13" t="str">
        <f t="shared" si="0"/>
        <v>-</v>
      </c>
      <c r="F12" s="107" t="str">
        <f t="shared" si="1"/>
        <v>-</v>
      </c>
      <c r="H12" s="127"/>
    </row>
    <row r="13" spans="1:8" s="12" customFormat="1" ht="39.75" customHeight="1">
      <c r="A13" s="56">
        <v>3</v>
      </c>
      <c r="B13" s="57" t="s">
        <v>97</v>
      </c>
      <c r="C13" s="11">
        <f>C14+C15</f>
        <v>125000</v>
      </c>
      <c r="D13" s="11">
        <f>D14+D15</f>
        <v>125000</v>
      </c>
      <c r="E13" s="11" t="str">
        <f t="shared" si="0"/>
        <v>-</v>
      </c>
      <c r="F13" s="106">
        <f t="shared" si="1"/>
        <v>1</v>
      </c>
      <c r="G13" s="126"/>
      <c r="H13" s="127"/>
    </row>
    <row r="14" spans="1:8" ht="30" customHeight="1">
      <c r="A14" s="58" t="s">
        <v>98</v>
      </c>
      <c r="B14" s="59" t="s">
        <v>90</v>
      </c>
      <c r="C14" s="13">
        <v>125000</v>
      </c>
      <c r="D14" s="13">
        <f>C14</f>
        <v>125000</v>
      </c>
      <c r="E14" s="13" t="str">
        <f t="shared" si="0"/>
        <v>-</v>
      </c>
      <c r="F14" s="107">
        <f t="shared" si="1"/>
        <v>1</v>
      </c>
      <c r="H14" s="127"/>
    </row>
    <row r="15" spans="1:8" ht="30" customHeight="1">
      <c r="A15" s="58" t="s">
        <v>99</v>
      </c>
      <c r="B15" s="59" t="s">
        <v>92</v>
      </c>
      <c r="C15" s="13">
        <v>0</v>
      </c>
      <c r="D15" s="13">
        <f>C15</f>
        <v>0</v>
      </c>
      <c r="E15" s="13" t="str">
        <f t="shared" si="0"/>
        <v>-</v>
      </c>
      <c r="F15" s="107" t="str">
        <f t="shared" si="1"/>
        <v>-</v>
      </c>
      <c r="H15" s="127"/>
    </row>
    <row r="16" spans="1:8" s="12" customFormat="1" ht="63.75" customHeight="1">
      <c r="A16" s="56">
        <v>4</v>
      </c>
      <c r="B16" s="57" t="s">
        <v>153</v>
      </c>
      <c r="C16" s="11">
        <f>C17+C18</f>
        <v>111283</v>
      </c>
      <c r="D16" s="11">
        <f>D17+D18</f>
        <v>111283</v>
      </c>
      <c r="E16" s="11" t="str">
        <f t="shared" si="0"/>
        <v>-</v>
      </c>
      <c r="F16" s="106">
        <f t="shared" si="1"/>
        <v>1</v>
      </c>
      <c r="G16" s="126"/>
      <c r="H16" s="127"/>
    </row>
    <row r="17" spans="1:8" ht="30" customHeight="1">
      <c r="A17" s="60" t="s">
        <v>100</v>
      </c>
      <c r="B17" s="59" t="s">
        <v>101</v>
      </c>
      <c r="C17" s="13">
        <v>108702</v>
      </c>
      <c r="D17" s="13">
        <f>C17</f>
        <v>108702</v>
      </c>
      <c r="E17" s="13" t="str">
        <f t="shared" si="0"/>
        <v>-</v>
      </c>
      <c r="F17" s="107">
        <f t="shared" si="1"/>
        <v>1</v>
      </c>
      <c r="H17" s="127"/>
    </row>
    <row r="18" spans="1:10" ht="30" customHeight="1">
      <c r="A18" s="60" t="s">
        <v>102</v>
      </c>
      <c r="B18" s="59" t="s">
        <v>103</v>
      </c>
      <c r="C18" s="13">
        <v>2581</v>
      </c>
      <c r="D18" s="13">
        <f>C18</f>
        <v>2581</v>
      </c>
      <c r="E18" s="13" t="str">
        <f t="shared" si="0"/>
        <v>-</v>
      </c>
      <c r="F18" s="107">
        <f t="shared" si="1"/>
        <v>1</v>
      </c>
      <c r="H18" s="127"/>
      <c r="J18" s="149"/>
    </row>
    <row r="19" spans="1:8" s="12" customFormat="1" ht="63.75" customHeight="1">
      <c r="A19" s="61" t="s">
        <v>174</v>
      </c>
      <c r="B19" s="62" t="s">
        <v>173</v>
      </c>
      <c r="C19" s="11">
        <f>(C7-C10+C13-C16)+C20+C21+C22+C23</f>
        <v>60169075</v>
      </c>
      <c r="D19" s="11">
        <f>(D7-D10+D13-D16)+D20+D21+D22+D23</f>
        <v>60136445</v>
      </c>
      <c r="E19" s="11">
        <f>IF(C19=D19,"-",D19-C19)</f>
        <v>-32630</v>
      </c>
      <c r="F19" s="106">
        <f t="shared" si="1"/>
        <v>0.9995</v>
      </c>
      <c r="G19" s="126"/>
      <c r="H19" s="127"/>
    </row>
    <row r="20" spans="1:8" ht="31.5" customHeight="1">
      <c r="A20" s="58" t="s">
        <v>104</v>
      </c>
      <c r="B20" s="63" t="s">
        <v>105</v>
      </c>
      <c r="C20" s="13">
        <v>101000</v>
      </c>
      <c r="D20" s="13">
        <f>C20</f>
        <v>101000</v>
      </c>
      <c r="E20" s="13" t="str">
        <f t="shared" si="0"/>
        <v>-</v>
      </c>
      <c r="F20" s="107">
        <f t="shared" si="1"/>
        <v>1</v>
      </c>
      <c r="H20" s="127"/>
    </row>
    <row r="21" spans="1:8" ht="31.5" customHeight="1">
      <c r="A21" s="58" t="s">
        <v>106</v>
      </c>
      <c r="B21" s="63" t="s">
        <v>107</v>
      </c>
      <c r="C21" s="13">
        <v>0</v>
      </c>
      <c r="D21" s="13">
        <f>C21</f>
        <v>0</v>
      </c>
      <c r="E21" s="13" t="str">
        <f t="shared" si="0"/>
        <v>-</v>
      </c>
      <c r="F21" s="107" t="str">
        <f t="shared" si="1"/>
        <v>-</v>
      </c>
      <c r="H21" s="127"/>
    </row>
    <row r="22" spans="1:10" ht="50.25" customHeight="1">
      <c r="A22" s="58" t="s">
        <v>108</v>
      </c>
      <c r="B22" s="63" t="s">
        <v>144</v>
      </c>
      <c r="C22" s="13">
        <v>214267</v>
      </c>
      <c r="D22" s="13">
        <f>C22</f>
        <v>214267</v>
      </c>
      <c r="E22" s="13" t="str">
        <f t="shared" si="0"/>
        <v>-</v>
      </c>
      <c r="F22" s="107">
        <f t="shared" si="1"/>
        <v>1</v>
      </c>
      <c r="H22" s="127"/>
      <c r="J22" s="132"/>
    </row>
    <row r="23" spans="1:8" ht="31.5" customHeight="1">
      <c r="A23" s="58" t="s">
        <v>109</v>
      </c>
      <c r="B23" s="64" t="s">
        <v>110</v>
      </c>
      <c r="C23" s="13">
        <v>1787607</v>
      </c>
      <c r="D23" s="13">
        <f>C23</f>
        <v>1787607</v>
      </c>
      <c r="E23" s="13" t="str">
        <f t="shared" si="0"/>
        <v>-</v>
      </c>
      <c r="F23" s="107">
        <f t="shared" si="1"/>
        <v>1</v>
      </c>
      <c r="H23" s="127"/>
    </row>
    <row r="24" spans="1:8" s="12" customFormat="1" ht="36" customHeight="1">
      <c r="A24" s="61" t="s">
        <v>175</v>
      </c>
      <c r="B24" s="62" t="s">
        <v>150</v>
      </c>
      <c r="C24" s="11">
        <f>C25+C26+C47+C48</f>
        <v>60187258</v>
      </c>
      <c r="D24" s="11">
        <f>D25+D26+D47+D48</f>
        <v>60187258</v>
      </c>
      <c r="E24" s="11" t="str">
        <f t="shared" si="0"/>
        <v>-</v>
      </c>
      <c r="F24" s="106">
        <f t="shared" si="1"/>
        <v>1</v>
      </c>
      <c r="G24" s="126"/>
      <c r="H24" s="127"/>
    </row>
    <row r="25" spans="1:8" s="12" customFormat="1" ht="36" customHeight="1">
      <c r="A25" s="61" t="s">
        <v>111</v>
      </c>
      <c r="B25" s="62" t="s">
        <v>112</v>
      </c>
      <c r="C25" s="11">
        <v>0</v>
      </c>
      <c r="D25" s="11">
        <f>C25</f>
        <v>0</v>
      </c>
      <c r="E25" s="11" t="str">
        <f t="shared" si="0"/>
        <v>-</v>
      </c>
      <c r="F25" s="106" t="str">
        <f t="shared" si="1"/>
        <v>-</v>
      </c>
      <c r="G25" s="126"/>
      <c r="H25" s="127"/>
    </row>
    <row r="26" spans="1:8" s="12" customFormat="1" ht="36" customHeight="1">
      <c r="A26" s="61" t="s">
        <v>0</v>
      </c>
      <c r="B26" s="62" t="s">
        <v>180</v>
      </c>
      <c r="C26" s="11">
        <f>CENTRALA!C7+'Razem OW'!C7</f>
        <v>58399651</v>
      </c>
      <c r="D26" s="11">
        <f>CENTRALA!D7+'Razem OW'!D7</f>
        <v>58399651</v>
      </c>
      <c r="E26" s="108" t="str">
        <f>IF(C26=D26,"-",D26-C26)</f>
        <v>-</v>
      </c>
      <c r="F26" s="109">
        <f t="shared" si="1"/>
        <v>1</v>
      </c>
      <c r="G26" s="126"/>
      <c r="H26" s="127"/>
    </row>
    <row r="27" spans="1:8" ht="30" customHeight="1">
      <c r="A27" s="65" t="s">
        <v>1</v>
      </c>
      <c r="B27" s="67" t="s">
        <v>159</v>
      </c>
      <c r="C27" s="13">
        <f>CENTRALA!C8+'Razem OW'!C8</f>
        <v>7369948</v>
      </c>
      <c r="D27" s="13">
        <f>CENTRALA!D8+'Razem OW'!D8</f>
        <v>7369948</v>
      </c>
      <c r="E27" s="85" t="str">
        <f t="shared" si="0"/>
        <v>-</v>
      </c>
      <c r="F27" s="107">
        <f t="shared" si="1"/>
        <v>1</v>
      </c>
      <c r="H27" s="127"/>
    </row>
    <row r="28" spans="1:8" ht="30" customHeight="1">
      <c r="A28" s="65" t="s">
        <v>2</v>
      </c>
      <c r="B28" s="67" t="s">
        <v>160</v>
      </c>
      <c r="C28" s="13">
        <f>CENTRALA!C9+'Razem OW'!C9</f>
        <v>4514546</v>
      </c>
      <c r="D28" s="13">
        <f>CENTRALA!D9+'Razem OW'!D9</f>
        <v>4514546</v>
      </c>
      <c r="E28" s="85" t="str">
        <f>IF(C28=D28,"-",D28-C28)</f>
        <v>-</v>
      </c>
      <c r="F28" s="107">
        <f t="shared" si="1"/>
        <v>1</v>
      </c>
      <c r="H28" s="127"/>
    </row>
    <row r="29" spans="1:8" ht="30" customHeight="1">
      <c r="A29" s="65" t="s">
        <v>3</v>
      </c>
      <c r="B29" s="67" t="s">
        <v>157</v>
      </c>
      <c r="C29" s="13">
        <f>CENTRALA!C10+'Razem OW'!C10</f>
        <v>27481550</v>
      </c>
      <c r="D29" s="13">
        <f>CENTRALA!D10+'Razem OW'!D10</f>
        <v>27481550</v>
      </c>
      <c r="E29" s="85" t="str">
        <f t="shared" si="0"/>
        <v>-</v>
      </c>
      <c r="F29" s="107">
        <f t="shared" si="1"/>
        <v>1</v>
      </c>
      <c r="H29" s="127"/>
    </row>
    <row r="30" spans="1:8" ht="30" customHeight="1">
      <c r="A30" s="65" t="s">
        <v>64</v>
      </c>
      <c r="B30" s="66" t="s">
        <v>65</v>
      </c>
      <c r="C30" s="13">
        <f>CENTRALA!C11+'Razem OW'!C11</f>
        <v>1677373</v>
      </c>
      <c r="D30" s="13">
        <f>CENTRALA!D11+'Razem OW'!D11</f>
        <v>1677373</v>
      </c>
      <c r="E30" s="85" t="str">
        <f t="shared" si="0"/>
        <v>-</v>
      </c>
      <c r="F30" s="107">
        <f t="shared" si="1"/>
        <v>1</v>
      </c>
      <c r="H30" s="127"/>
    </row>
    <row r="31" spans="1:8" ht="30" customHeight="1">
      <c r="A31" s="65" t="s">
        <v>4</v>
      </c>
      <c r="B31" s="67" t="s">
        <v>166</v>
      </c>
      <c r="C31" s="13">
        <f>CENTRALA!C12+'Razem OW'!C12</f>
        <v>2045558</v>
      </c>
      <c r="D31" s="13">
        <f>CENTRALA!D12+'Razem OW'!D12</f>
        <v>2045558</v>
      </c>
      <c r="E31" s="85" t="str">
        <f t="shared" si="0"/>
        <v>-</v>
      </c>
      <c r="F31" s="107">
        <f t="shared" si="1"/>
        <v>1</v>
      </c>
      <c r="H31" s="127"/>
    </row>
    <row r="32" spans="1:8" ht="30" customHeight="1">
      <c r="A32" s="65" t="s">
        <v>5</v>
      </c>
      <c r="B32" s="67" t="s">
        <v>161</v>
      </c>
      <c r="C32" s="13">
        <f>CENTRALA!C13+'Razem OW'!C13</f>
        <v>1826936</v>
      </c>
      <c r="D32" s="13">
        <f>CENTRALA!D13+'Razem OW'!D13</f>
        <v>1826936</v>
      </c>
      <c r="E32" s="85" t="str">
        <f t="shared" si="0"/>
        <v>-</v>
      </c>
      <c r="F32" s="107">
        <f t="shared" si="1"/>
        <v>1</v>
      </c>
      <c r="H32" s="127"/>
    </row>
    <row r="33" spans="1:8" ht="30" customHeight="1">
      <c r="A33" s="65" t="s">
        <v>6</v>
      </c>
      <c r="B33" s="67" t="s">
        <v>170</v>
      </c>
      <c r="C33" s="13">
        <f>CENTRALA!C14+'Razem OW'!C14</f>
        <v>969288</v>
      </c>
      <c r="D33" s="13">
        <f>CENTRALA!D14+'Razem OW'!D14</f>
        <v>969288</v>
      </c>
      <c r="E33" s="85" t="str">
        <f t="shared" si="0"/>
        <v>-</v>
      </c>
      <c r="F33" s="107">
        <f t="shared" si="1"/>
        <v>1</v>
      </c>
      <c r="H33" s="127"/>
    </row>
    <row r="34" spans="1:8" ht="30" customHeight="1">
      <c r="A34" s="65" t="s">
        <v>7</v>
      </c>
      <c r="B34" s="67" t="s">
        <v>169</v>
      </c>
      <c r="C34" s="13">
        <f>CENTRALA!C15+'Razem OW'!C15</f>
        <v>300324</v>
      </c>
      <c r="D34" s="13">
        <f>CENTRALA!D15+'Razem OW'!D15</f>
        <v>300324</v>
      </c>
      <c r="E34" s="85" t="str">
        <f>IF(C34=D34,"-",D34-C34)</f>
        <v>-</v>
      </c>
      <c r="F34" s="107">
        <f>IF(C34=0,"-",D34/C34)</f>
        <v>1</v>
      </c>
      <c r="H34" s="127"/>
    </row>
    <row r="35" spans="1:8" ht="30" customHeight="1">
      <c r="A35" s="65" t="s">
        <v>8</v>
      </c>
      <c r="B35" s="67" t="s">
        <v>162</v>
      </c>
      <c r="C35" s="13">
        <f>CENTRALA!C16+'Razem OW'!C16</f>
        <v>1753011</v>
      </c>
      <c r="D35" s="13">
        <f>CENTRALA!D16+'Razem OW'!D16</f>
        <v>1753011</v>
      </c>
      <c r="E35" s="85" t="str">
        <f t="shared" si="0"/>
        <v>-</v>
      </c>
      <c r="F35" s="107">
        <f t="shared" si="1"/>
        <v>1</v>
      </c>
      <c r="H35" s="127"/>
    </row>
    <row r="36" spans="1:8" ht="30" customHeight="1">
      <c r="A36" s="65" t="s">
        <v>9</v>
      </c>
      <c r="B36" s="67" t="s">
        <v>163</v>
      </c>
      <c r="C36" s="13">
        <f>CENTRALA!C17+'Razem OW'!C17</f>
        <v>573486</v>
      </c>
      <c r="D36" s="13">
        <f>CENTRALA!D17+'Razem OW'!D17</f>
        <v>573486</v>
      </c>
      <c r="E36" s="85" t="str">
        <f t="shared" si="0"/>
        <v>-</v>
      </c>
      <c r="F36" s="107">
        <f t="shared" si="1"/>
        <v>1</v>
      </c>
      <c r="H36" s="127"/>
    </row>
    <row r="37" spans="1:8" ht="30" customHeight="1">
      <c r="A37" s="65" t="s">
        <v>10</v>
      </c>
      <c r="B37" s="67" t="s">
        <v>171</v>
      </c>
      <c r="C37" s="13">
        <f>CENTRALA!C18+'Razem OW'!C18</f>
        <v>37794</v>
      </c>
      <c r="D37" s="13">
        <f>CENTRALA!D18+'Razem OW'!D18</f>
        <v>37794</v>
      </c>
      <c r="E37" s="85" t="str">
        <f t="shared" si="0"/>
        <v>-</v>
      </c>
      <c r="F37" s="107">
        <f t="shared" si="1"/>
        <v>1</v>
      </c>
      <c r="H37" s="127"/>
    </row>
    <row r="38" spans="1:8" ht="30" customHeight="1">
      <c r="A38" s="65" t="s">
        <v>11</v>
      </c>
      <c r="B38" s="67" t="s">
        <v>164</v>
      </c>
      <c r="C38" s="13">
        <f>CENTRALA!C19+'Razem OW'!C19</f>
        <v>151772</v>
      </c>
      <c r="D38" s="13">
        <f>CENTRALA!D19+'Razem OW'!D19</f>
        <v>151772</v>
      </c>
      <c r="E38" s="85" t="str">
        <f t="shared" si="0"/>
        <v>-</v>
      </c>
      <c r="F38" s="107">
        <f t="shared" si="1"/>
        <v>1</v>
      </c>
      <c r="H38" s="127"/>
    </row>
    <row r="39" spans="1:8" ht="30" customHeight="1">
      <c r="A39" s="65" t="s">
        <v>12</v>
      </c>
      <c r="B39" s="67" t="s">
        <v>165</v>
      </c>
      <c r="C39" s="13">
        <f>CENTRALA!C20+'Razem OW'!C20</f>
        <v>1482678</v>
      </c>
      <c r="D39" s="13">
        <f>CENTRALA!D20+'Razem OW'!D20</f>
        <v>1482678</v>
      </c>
      <c r="E39" s="85" t="str">
        <f t="shared" si="0"/>
        <v>-</v>
      </c>
      <c r="F39" s="107">
        <f t="shared" si="1"/>
        <v>1</v>
      </c>
      <c r="H39" s="127"/>
    </row>
    <row r="40" spans="1:8" ht="30" customHeight="1">
      <c r="A40" s="65" t="s">
        <v>14</v>
      </c>
      <c r="B40" s="67" t="s">
        <v>13</v>
      </c>
      <c r="C40" s="13">
        <f>CENTRALA!C21+'Razem OW'!C21</f>
        <v>617867</v>
      </c>
      <c r="D40" s="13">
        <f>CENTRALA!D21+'Razem OW'!D21</f>
        <v>617867</v>
      </c>
      <c r="E40" s="85" t="str">
        <f t="shared" si="0"/>
        <v>-</v>
      </c>
      <c r="F40" s="107">
        <f t="shared" si="1"/>
        <v>1</v>
      </c>
      <c r="H40" s="127"/>
    </row>
    <row r="41" spans="1:8" ht="30" customHeight="1">
      <c r="A41" s="65" t="s">
        <v>15</v>
      </c>
      <c r="B41" s="67" t="s">
        <v>167</v>
      </c>
      <c r="C41" s="13">
        <f>CENTRALA!C22+'Razem OW'!C22</f>
        <v>8633249</v>
      </c>
      <c r="D41" s="13">
        <f>CENTRALA!D22+'Razem OW'!D22</f>
        <v>8633249</v>
      </c>
      <c r="E41" s="85" t="str">
        <f t="shared" si="0"/>
        <v>-</v>
      </c>
      <c r="F41" s="107">
        <f t="shared" si="1"/>
        <v>1</v>
      </c>
      <c r="H41" s="127"/>
    </row>
    <row r="42" spans="1:8" ht="30" customHeight="1">
      <c r="A42" s="65" t="s">
        <v>172</v>
      </c>
      <c r="B42" s="66" t="s">
        <v>66</v>
      </c>
      <c r="C42" s="13">
        <f>CENTRALA!C23+'Razem OW'!C23</f>
        <v>25649</v>
      </c>
      <c r="D42" s="13">
        <f>CENTRALA!D23+'Razem OW'!D23</f>
        <v>25649</v>
      </c>
      <c r="E42" s="85" t="str">
        <f t="shared" si="0"/>
        <v>-</v>
      </c>
      <c r="F42" s="107">
        <f t="shared" si="1"/>
        <v>1</v>
      </c>
      <c r="H42" s="127"/>
    </row>
    <row r="43" spans="1:8" ht="36" customHeight="1">
      <c r="A43" s="65" t="s">
        <v>16</v>
      </c>
      <c r="B43" s="67" t="s">
        <v>139</v>
      </c>
      <c r="C43" s="13">
        <f>CENTRALA!C24+'Razem OW'!C24</f>
        <v>420264</v>
      </c>
      <c r="D43" s="13">
        <f>CENTRALA!D24+'Razem OW'!D24</f>
        <v>420264</v>
      </c>
      <c r="E43" s="85" t="str">
        <f t="shared" si="0"/>
        <v>-</v>
      </c>
      <c r="F43" s="107">
        <f t="shared" si="1"/>
        <v>1</v>
      </c>
      <c r="H43" s="127"/>
    </row>
    <row r="44" spans="1:8" ht="30" customHeight="1">
      <c r="A44" s="65" t="s">
        <v>136</v>
      </c>
      <c r="B44" s="67" t="s">
        <v>60</v>
      </c>
      <c r="C44" s="13">
        <f>CENTRALA!C25+'Razem OW'!C25</f>
        <v>0</v>
      </c>
      <c r="D44" s="13">
        <f>CENTRALA!D25+'Razem OW'!D25</f>
        <v>0</v>
      </c>
      <c r="E44" s="85" t="str">
        <f t="shared" si="0"/>
        <v>-</v>
      </c>
      <c r="F44" s="107" t="str">
        <f t="shared" si="1"/>
        <v>-</v>
      </c>
      <c r="H44" s="127"/>
    </row>
    <row r="45" spans="1:8" ht="30" customHeight="1">
      <c r="A45" s="65" t="s">
        <v>137</v>
      </c>
      <c r="B45" s="67" t="s">
        <v>140</v>
      </c>
      <c r="C45" s="13">
        <f>CENTRALA!C26+'Razem OW'!C26</f>
        <v>0</v>
      </c>
      <c r="D45" s="13">
        <f>CENTRALA!D26+'Razem OW'!D26</f>
        <v>0</v>
      </c>
      <c r="E45" s="85" t="str">
        <f t="shared" si="0"/>
        <v>-</v>
      </c>
      <c r="F45" s="107" t="str">
        <f t="shared" si="1"/>
        <v>-</v>
      </c>
      <c r="H45" s="127"/>
    </row>
    <row r="46" spans="1:8" ht="30" customHeight="1">
      <c r="A46" s="65" t="s">
        <v>138</v>
      </c>
      <c r="B46" s="67" t="s">
        <v>141</v>
      </c>
      <c r="C46" s="13">
        <f>CENTRALA!C27+'Razem OW'!C27</f>
        <v>221380</v>
      </c>
      <c r="D46" s="13">
        <f>CENTRALA!D27+'Razem OW'!D27</f>
        <v>221380</v>
      </c>
      <c r="E46" s="85" t="str">
        <f t="shared" si="0"/>
        <v>-</v>
      </c>
      <c r="F46" s="107">
        <f t="shared" si="1"/>
        <v>1</v>
      </c>
      <c r="H46" s="127"/>
    </row>
    <row r="47" spans="1:8" s="12" customFormat="1" ht="30.75" customHeight="1">
      <c r="A47" s="37" t="s">
        <v>68</v>
      </c>
      <c r="B47" s="68" t="s">
        <v>113</v>
      </c>
      <c r="C47" s="11">
        <f>CENTRALA!C28+'Razem OW'!C28</f>
        <v>0</v>
      </c>
      <c r="D47" s="11">
        <f>CENTRALA!D28+'Razem OW'!D28</f>
        <v>0</v>
      </c>
      <c r="E47" s="23" t="str">
        <f t="shared" si="0"/>
        <v>-</v>
      </c>
      <c r="F47" s="110" t="str">
        <f t="shared" si="1"/>
        <v>-</v>
      </c>
      <c r="G47" s="126"/>
      <c r="H47" s="127"/>
    </row>
    <row r="48" spans="1:8" s="12" customFormat="1" ht="30.75" customHeight="1">
      <c r="A48" s="37" t="s">
        <v>67</v>
      </c>
      <c r="B48" s="68" t="s">
        <v>70</v>
      </c>
      <c r="C48" s="11">
        <f>CENTRALA!C29+'Razem OW'!C29</f>
        <v>1787607</v>
      </c>
      <c r="D48" s="11">
        <f>CENTRALA!D29+'Razem OW'!D29</f>
        <v>1787607</v>
      </c>
      <c r="E48" s="11" t="str">
        <f t="shared" si="0"/>
        <v>-</v>
      </c>
      <c r="F48" s="106">
        <f t="shared" si="1"/>
        <v>1</v>
      </c>
      <c r="G48" s="126"/>
      <c r="H48" s="127"/>
    </row>
    <row r="49" spans="1:8" s="12" customFormat="1" ht="33" customHeight="1">
      <c r="A49" s="56" t="s">
        <v>176</v>
      </c>
      <c r="B49" s="57" t="s">
        <v>149</v>
      </c>
      <c r="C49" s="11">
        <f>C19-C24</f>
        <v>-18183</v>
      </c>
      <c r="D49" s="11">
        <f>D19-D24</f>
        <v>-50813</v>
      </c>
      <c r="E49" s="11">
        <f t="shared" si="0"/>
        <v>-32630</v>
      </c>
      <c r="F49" s="106">
        <f t="shared" si="1"/>
        <v>2.7945</v>
      </c>
      <c r="G49" s="126"/>
      <c r="H49" s="127"/>
    </row>
    <row r="50" spans="1:8" s="12" customFormat="1" ht="33" customHeight="1">
      <c r="A50" s="56" t="s">
        <v>177</v>
      </c>
      <c r="B50" s="57" t="s">
        <v>148</v>
      </c>
      <c r="C50" s="11">
        <f>C51+C52+C53+C61+C62+C67+C68+C69+C70</f>
        <v>647686</v>
      </c>
      <c r="D50" s="11">
        <f>D51+D52+D53+D61+D62+D67+D68+D69+D70</f>
        <v>647814</v>
      </c>
      <c r="E50" s="11">
        <f t="shared" si="0"/>
        <v>128</v>
      </c>
      <c r="F50" s="106">
        <f t="shared" si="1"/>
        <v>1.0002</v>
      </c>
      <c r="G50" s="126"/>
      <c r="H50" s="127"/>
    </row>
    <row r="51" spans="1:8" ht="30" customHeight="1">
      <c r="A51" s="58" t="s">
        <v>19</v>
      </c>
      <c r="B51" s="54" t="s">
        <v>20</v>
      </c>
      <c r="C51" s="13">
        <f>CENTRALA!C31+'Razem OW'!C31</f>
        <v>22534</v>
      </c>
      <c r="D51" s="13">
        <f>CENTRALA!D31+'Razem OW'!D31</f>
        <v>22545</v>
      </c>
      <c r="E51" s="13">
        <f t="shared" si="0"/>
        <v>11</v>
      </c>
      <c r="F51" s="107">
        <f t="shared" si="1"/>
        <v>1.0005</v>
      </c>
      <c r="H51" s="127"/>
    </row>
    <row r="52" spans="1:8" ht="30" customHeight="1">
      <c r="A52" s="58" t="s">
        <v>21</v>
      </c>
      <c r="B52" s="54" t="s">
        <v>22</v>
      </c>
      <c r="C52" s="13">
        <f>CENTRALA!C32+'Razem OW'!C32</f>
        <v>137485</v>
      </c>
      <c r="D52" s="13">
        <f>CENTRALA!D32+'Razem OW'!D32</f>
        <v>137487</v>
      </c>
      <c r="E52" s="13">
        <f t="shared" si="0"/>
        <v>2</v>
      </c>
      <c r="F52" s="107">
        <f t="shared" si="1"/>
        <v>1</v>
      </c>
      <c r="H52" s="127"/>
    </row>
    <row r="53" spans="1:8" ht="30" customHeight="1">
      <c r="A53" s="58" t="s">
        <v>23</v>
      </c>
      <c r="B53" s="69" t="s">
        <v>37</v>
      </c>
      <c r="C53" s="13">
        <f>C54+C56+C57+C58+C59+C60</f>
        <v>4145</v>
      </c>
      <c r="D53" s="13">
        <f>D54+D56+D57+D58+D59+D60</f>
        <v>4145</v>
      </c>
      <c r="E53" s="13" t="str">
        <f t="shared" si="0"/>
        <v>-</v>
      </c>
      <c r="F53" s="107">
        <f t="shared" si="1"/>
        <v>1</v>
      </c>
      <c r="H53" s="127"/>
    </row>
    <row r="54" spans="1:8" s="15" customFormat="1" ht="30" customHeight="1">
      <c r="A54" s="70" t="s">
        <v>45</v>
      </c>
      <c r="B54" s="71" t="s">
        <v>38</v>
      </c>
      <c r="C54" s="13">
        <f>CENTRALA!C34+'Razem OW'!C34</f>
        <v>494</v>
      </c>
      <c r="D54" s="13">
        <f>CENTRALA!D34+'Razem OW'!D34</f>
        <v>494</v>
      </c>
      <c r="E54" s="13" t="str">
        <f t="shared" si="0"/>
        <v>-</v>
      </c>
      <c r="F54" s="107">
        <f t="shared" si="1"/>
        <v>1</v>
      </c>
      <c r="G54" s="128"/>
      <c r="H54" s="127"/>
    </row>
    <row r="55" spans="1:8" s="15" customFormat="1" ht="30" customHeight="1">
      <c r="A55" s="70" t="s">
        <v>46</v>
      </c>
      <c r="B55" s="72" t="s">
        <v>39</v>
      </c>
      <c r="C55" s="13">
        <f>CENTRALA!C35+'Razem OW'!C35</f>
        <v>470</v>
      </c>
      <c r="D55" s="13">
        <f>CENTRALA!D35+'Razem OW'!D35</f>
        <v>470</v>
      </c>
      <c r="E55" s="13" t="str">
        <f t="shared" si="0"/>
        <v>-</v>
      </c>
      <c r="F55" s="107">
        <f t="shared" si="1"/>
        <v>1</v>
      </c>
      <c r="G55" s="128"/>
      <c r="H55" s="127"/>
    </row>
    <row r="56" spans="1:8" s="15" customFormat="1" ht="30" customHeight="1">
      <c r="A56" s="70" t="s">
        <v>47</v>
      </c>
      <c r="B56" s="71" t="s">
        <v>40</v>
      </c>
      <c r="C56" s="13">
        <f>CENTRALA!C36+'Razem OW'!C36</f>
        <v>129</v>
      </c>
      <c r="D56" s="13">
        <f>CENTRALA!D36+'Razem OW'!D36</f>
        <v>129</v>
      </c>
      <c r="E56" s="13" t="str">
        <f t="shared" si="0"/>
        <v>-</v>
      </c>
      <c r="F56" s="107">
        <f t="shared" si="1"/>
        <v>1</v>
      </c>
      <c r="G56" s="128"/>
      <c r="H56" s="127"/>
    </row>
    <row r="57" spans="1:8" s="15" customFormat="1" ht="30" customHeight="1">
      <c r="A57" s="70" t="s">
        <v>48</v>
      </c>
      <c r="B57" s="71" t="s">
        <v>41</v>
      </c>
      <c r="C57" s="13">
        <f>CENTRALA!C37+'Razem OW'!C37</f>
        <v>50</v>
      </c>
      <c r="D57" s="13">
        <f>CENTRALA!D37+'Razem OW'!D37</f>
        <v>50</v>
      </c>
      <c r="E57" s="13" t="str">
        <f t="shared" si="0"/>
        <v>-</v>
      </c>
      <c r="F57" s="107">
        <f t="shared" si="1"/>
        <v>1</v>
      </c>
      <c r="G57" s="128"/>
      <c r="H57" s="127"/>
    </row>
    <row r="58" spans="1:8" s="15" customFormat="1" ht="30" customHeight="1">
      <c r="A58" s="70" t="s">
        <v>49</v>
      </c>
      <c r="B58" s="71" t="s">
        <v>42</v>
      </c>
      <c r="C58" s="13">
        <f>CENTRALA!C38+'Razem OW'!C38</f>
        <v>0</v>
      </c>
      <c r="D58" s="13">
        <f>CENTRALA!D38+'Razem OW'!D38</f>
        <v>0</v>
      </c>
      <c r="E58" s="13" t="str">
        <f t="shared" si="0"/>
        <v>-</v>
      </c>
      <c r="F58" s="107" t="str">
        <f t="shared" si="1"/>
        <v>-</v>
      </c>
      <c r="G58" s="128"/>
      <c r="H58" s="127"/>
    </row>
    <row r="59" spans="1:8" s="15" customFormat="1" ht="30" customHeight="1">
      <c r="A59" s="70" t="s">
        <v>50</v>
      </c>
      <c r="B59" s="71" t="s">
        <v>43</v>
      </c>
      <c r="C59" s="13">
        <f>CENTRALA!C39+'Razem OW'!C39</f>
        <v>3123</v>
      </c>
      <c r="D59" s="13">
        <f>CENTRALA!D39+'Razem OW'!D39</f>
        <v>3123</v>
      </c>
      <c r="E59" s="13" t="str">
        <f t="shared" si="0"/>
        <v>-</v>
      </c>
      <c r="F59" s="107">
        <f t="shared" si="1"/>
        <v>1</v>
      </c>
      <c r="G59" s="128"/>
      <c r="H59" s="127"/>
    </row>
    <row r="60" spans="1:8" s="16" customFormat="1" ht="30" customHeight="1">
      <c r="A60" s="70" t="s">
        <v>51</v>
      </c>
      <c r="B60" s="71" t="s">
        <v>44</v>
      </c>
      <c r="C60" s="13">
        <f>CENTRALA!C40+'Razem OW'!C40</f>
        <v>349</v>
      </c>
      <c r="D60" s="13">
        <f>CENTRALA!D40+'Razem OW'!D40</f>
        <v>349</v>
      </c>
      <c r="E60" s="13" t="str">
        <f t="shared" si="0"/>
        <v>-</v>
      </c>
      <c r="F60" s="107">
        <f t="shared" si="1"/>
        <v>1</v>
      </c>
      <c r="G60" s="129"/>
      <c r="H60" s="127"/>
    </row>
    <row r="61" spans="1:8" ht="30" customHeight="1">
      <c r="A61" s="36" t="s">
        <v>24</v>
      </c>
      <c r="B61" s="54" t="s">
        <v>25</v>
      </c>
      <c r="C61" s="13">
        <f>CENTRALA!C41+'Razem OW'!C41</f>
        <v>300513</v>
      </c>
      <c r="D61" s="13">
        <f>CENTRALA!D41+'Razem OW'!D41</f>
        <v>300597</v>
      </c>
      <c r="E61" s="13">
        <f t="shared" si="0"/>
        <v>84</v>
      </c>
      <c r="F61" s="107">
        <f t="shared" si="1"/>
        <v>1.0003</v>
      </c>
      <c r="H61" s="127"/>
    </row>
    <row r="62" spans="1:8" ht="30" customHeight="1">
      <c r="A62" s="58" t="s">
        <v>26</v>
      </c>
      <c r="B62" s="63" t="s">
        <v>61</v>
      </c>
      <c r="C62" s="13">
        <f>SUM(C63:C66)</f>
        <v>61678</v>
      </c>
      <c r="D62" s="13">
        <f>SUM(D63:D66)</f>
        <v>61693</v>
      </c>
      <c r="E62" s="13">
        <f t="shared" si="0"/>
        <v>15</v>
      </c>
      <c r="F62" s="107">
        <f t="shared" si="1"/>
        <v>1.0002</v>
      </c>
      <c r="H62" s="127"/>
    </row>
    <row r="63" spans="1:8" s="15" customFormat="1" ht="30" customHeight="1">
      <c r="A63" s="70" t="s">
        <v>56</v>
      </c>
      <c r="B63" s="71" t="s">
        <v>52</v>
      </c>
      <c r="C63" s="13">
        <f>CENTRALA!C43+'Razem OW'!C43</f>
        <v>45426</v>
      </c>
      <c r="D63" s="13">
        <f>CENTRALA!D43+'Razem OW'!D43</f>
        <v>45439</v>
      </c>
      <c r="E63" s="13">
        <f t="shared" si="0"/>
        <v>13</v>
      </c>
      <c r="F63" s="107">
        <f t="shared" si="1"/>
        <v>1.0003</v>
      </c>
      <c r="G63" s="128"/>
      <c r="H63" s="127"/>
    </row>
    <row r="64" spans="1:8" s="15" customFormat="1" ht="30" customHeight="1">
      <c r="A64" s="70" t="s">
        <v>57</v>
      </c>
      <c r="B64" s="71" t="s">
        <v>53</v>
      </c>
      <c r="C64" s="13">
        <f>CENTRALA!C44+'Razem OW'!C44</f>
        <v>7347</v>
      </c>
      <c r="D64" s="13">
        <f>CENTRALA!D44+'Razem OW'!D44</f>
        <v>7349</v>
      </c>
      <c r="E64" s="13">
        <f t="shared" si="0"/>
        <v>2</v>
      </c>
      <c r="F64" s="107">
        <f t="shared" si="1"/>
        <v>1.0003</v>
      </c>
      <c r="G64" s="128"/>
      <c r="H64" s="127"/>
    </row>
    <row r="65" spans="1:8" s="15" customFormat="1" ht="30" customHeight="1">
      <c r="A65" s="70" t="s">
        <v>58</v>
      </c>
      <c r="B65" s="71" t="s">
        <v>54</v>
      </c>
      <c r="C65" s="13">
        <f>CENTRALA!C45+'Razem OW'!C45</f>
        <v>0</v>
      </c>
      <c r="D65" s="13">
        <f>CENTRALA!D45+'Razem OW'!D45</f>
        <v>0</v>
      </c>
      <c r="E65" s="13" t="str">
        <f t="shared" si="0"/>
        <v>-</v>
      </c>
      <c r="F65" s="107" t="str">
        <f t="shared" si="1"/>
        <v>-</v>
      </c>
      <c r="G65" s="128"/>
      <c r="H65" s="127"/>
    </row>
    <row r="66" spans="1:8" s="15" customFormat="1" ht="30" customHeight="1">
      <c r="A66" s="70" t="s">
        <v>59</v>
      </c>
      <c r="B66" s="71" t="s">
        <v>55</v>
      </c>
      <c r="C66" s="13">
        <f>CENTRALA!C46+'Razem OW'!C46</f>
        <v>8905</v>
      </c>
      <c r="D66" s="13">
        <f>CENTRALA!D46+'Razem OW'!D46</f>
        <v>8905</v>
      </c>
      <c r="E66" s="13" t="str">
        <f t="shared" si="0"/>
        <v>-</v>
      </c>
      <c r="F66" s="107">
        <f t="shared" si="1"/>
        <v>1</v>
      </c>
      <c r="G66" s="128"/>
      <c r="H66" s="127"/>
    </row>
    <row r="67" spans="1:8" ht="30" customHeight="1">
      <c r="A67" s="58" t="s">
        <v>27</v>
      </c>
      <c r="B67" s="59" t="s">
        <v>28</v>
      </c>
      <c r="C67" s="13">
        <f>CENTRALA!C47+'Razem OW'!C47</f>
        <v>200</v>
      </c>
      <c r="D67" s="13">
        <f>CENTRALA!D47+'Razem OW'!D47</f>
        <v>200</v>
      </c>
      <c r="E67" s="13" t="str">
        <f t="shared" si="0"/>
        <v>-</v>
      </c>
      <c r="F67" s="107">
        <f t="shared" si="1"/>
        <v>1</v>
      </c>
      <c r="G67" s="128"/>
      <c r="H67" s="127"/>
    </row>
    <row r="68" spans="1:8" ht="42" customHeight="1">
      <c r="A68" s="58" t="s">
        <v>29</v>
      </c>
      <c r="B68" s="59" t="s">
        <v>114</v>
      </c>
      <c r="C68" s="85">
        <f>CENTRALA!C48+'Razem OW'!C48</f>
        <v>111325</v>
      </c>
      <c r="D68" s="85">
        <f>CENTRALA!D48+'Razem OW'!D48</f>
        <v>111325</v>
      </c>
      <c r="E68" s="13" t="str">
        <f t="shared" si="0"/>
        <v>-</v>
      </c>
      <c r="F68" s="107">
        <f t="shared" si="1"/>
        <v>1</v>
      </c>
      <c r="G68" s="128"/>
      <c r="H68" s="127"/>
    </row>
    <row r="69" spans="1:8" ht="42" customHeight="1">
      <c r="A69" s="58" t="s">
        <v>30</v>
      </c>
      <c r="B69" s="59" t="s">
        <v>31</v>
      </c>
      <c r="C69" s="13">
        <f>CENTRALA!C49+'Razem OW'!C49</f>
        <v>4165</v>
      </c>
      <c r="D69" s="13">
        <f>CENTRALA!D49+'Razem OW'!D49</f>
        <v>4165</v>
      </c>
      <c r="E69" s="13" t="str">
        <f t="shared" si="0"/>
        <v>-</v>
      </c>
      <c r="F69" s="107">
        <f t="shared" si="1"/>
        <v>1</v>
      </c>
      <c r="G69" s="128"/>
      <c r="H69" s="127"/>
    </row>
    <row r="70" spans="1:8" ht="30" customHeight="1">
      <c r="A70" s="58" t="s">
        <v>32</v>
      </c>
      <c r="B70" s="59" t="s">
        <v>33</v>
      </c>
      <c r="C70" s="13">
        <f>CENTRALA!C50+'Razem OW'!C50</f>
        <v>5641</v>
      </c>
      <c r="D70" s="13">
        <f>CENTRALA!D50+'Razem OW'!D50</f>
        <v>5657</v>
      </c>
      <c r="E70" s="13">
        <f t="shared" si="0"/>
        <v>16</v>
      </c>
      <c r="F70" s="107">
        <f t="shared" si="1"/>
        <v>1.0028</v>
      </c>
      <c r="H70" s="127"/>
    </row>
    <row r="71" spans="1:8" s="12" customFormat="1" ht="33" customHeight="1">
      <c r="A71" s="73" t="s">
        <v>178</v>
      </c>
      <c r="B71" s="74" t="s">
        <v>181</v>
      </c>
      <c r="C71" s="11">
        <f>SUM(C72:C73)</f>
        <v>38916</v>
      </c>
      <c r="D71" s="11">
        <f>SUM(D72:D73)</f>
        <v>90517</v>
      </c>
      <c r="E71" s="11">
        <f t="shared" si="0"/>
        <v>51601</v>
      </c>
      <c r="F71" s="106">
        <f t="shared" si="1"/>
        <v>2.326</v>
      </c>
      <c r="G71" s="126"/>
      <c r="H71" s="127"/>
    </row>
    <row r="72" spans="1:8" ht="72" customHeight="1">
      <c r="A72" s="58" t="s">
        <v>115</v>
      </c>
      <c r="B72" s="59" t="s">
        <v>116</v>
      </c>
      <c r="C72" s="13">
        <v>161</v>
      </c>
      <c r="D72" s="13">
        <f>C72-26</f>
        <v>135</v>
      </c>
      <c r="E72" s="13">
        <f aca="true" t="shared" si="2" ref="E72:E91">IF(C72=D72,"-",D72-C72)</f>
        <v>-26</v>
      </c>
      <c r="F72" s="107">
        <f aca="true" t="shared" si="3" ref="F72:F91">IF(C72=0,"-",D72/C72)</f>
        <v>0.8385</v>
      </c>
      <c r="H72" s="127"/>
    </row>
    <row r="73" spans="1:8" ht="30" customHeight="1">
      <c r="A73" s="58" t="s">
        <v>152</v>
      </c>
      <c r="B73" s="63" t="s">
        <v>117</v>
      </c>
      <c r="C73" s="13">
        <v>38755</v>
      </c>
      <c r="D73" s="13">
        <f>C73+51499+128</f>
        <v>90382</v>
      </c>
      <c r="E73" s="13">
        <f t="shared" si="2"/>
        <v>51627</v>
      </c>
      <c r="F73" s="107">
        <f t="shared" si="3"/>
        <v>2.3321</v>
      </c>
      <c r="H73" s="127"/>
    </row>
    <row r="74" spans="1:8" s="12" customFormat="1" ht="33" customHeight="1">
      <c r="A74" s="73" t="s">
        <v>182</v>
      </c>
      <c r="B74" s="74" t="s">
        <v>179</v>
      </c>
      <c r="C74" s="11">
        <f>C75+C76+C77+C78</f>
        <v>241163</v>
      </c>
      <c r="D74" s="11">
        <f>D75+D76+D77+D78</f>
        <v>274271</v>
      </c>
      <c r="E74" s="11">
        <f t="shared" si="2"/>
        <v>33108</v>
      </c>
      <c r="F74" s="106">
        <f t="shared" si="3"/>
        <v>1.1373</v>
      </c>
      <c r="G74" s="126"/>
      <c r="H74" s="127"/>
    </row>
    <row r="75" spans="1:8" ht="47.25" customHeight="1">
      <c r="A75" s="58" t="s">
        <v>118</v>
      </c>
      <c r="B75" s="59" t="s">
        <v>143</v>
      </c>
      <c r="C75" s="13">
        <f>CENTRALA!C52+'Razem OW'!C52</f>
        <v>22964</v>
      </c>
      <c r="D75" s="13">
        <f>CENTRALA!D52+'Razem OW'!D52</f>
        <v>21395</v>
      </c>
      <c r="E75" s="13">
        <f t="shared" si="2"/>
        <v>-1569</v>
      </c>
      <c r="F75" s="107">
        <f t="shared" si="3"/>
        <v>0.9317</v>
      </c>
      <c r="H75" s="127"/>
    </row>
    <row r="76" spans="1:8" ht="33.75" customHeight="1">
      <c r="A76" s="58" t="s">
        <v>35</v>
      </c>
      <c r="B76" s="59" t="s">
        <v>63</v>
      </c>
      <c r="C76" s="13">
        <f>CENTRALA!C53+'Razem OW'!C53</f>
        <v>199276</v>
      </c>
      <c r="D76" s="13">
        <f>CENTRALA!D53+'Razem OW'!D53</f>
        <v>230135</v>
      </c>
      <c r="E76" s="13">
        <f t="shared" si="2"/>
        <v>30859</v>
      </c>
      <c r="F76" s="107">
        <f t="shared" si="3"/>
        <v>1.1549</v>
      </c>
      <c r="H76" s="127"/>
    </row>
    <row r="77" spans="1:8" ht="30" customHeight="1">
      <c r="A77" s="58" t="s">
        <v>36</v>
      </c>
      <c r="B77" s="59" t="s">
        <v>120</v>
      </c>
      <c r="C77" s="13">
        <f>CENTRALA!C54+'Razem OW'!C54</f>
        <v>0</v>
      </c>
      <c r="D77" s="13">
        <f>CENTRALA!D54+'Razem OW'!D54</f>
        <v>0</v>
      </c>
      <c r="E77" s="13" t="str">
        <f t="shared" si="2"/>
        <v>-</v>
      </c>
      <c r="F77" s="107" t="str">
        <f t="shared" si="3"/>
        <v>-</v>
      </c>
      <c r="H77" s="127"/>
    </row>
    <row r="78" spans="1:8" ht="30" customHeight="1">
      <c r="A78" s="58" t="s">
        <v>119</v>
      </c>
      <c r="B78" s="63" t="s">
        <v>121</v>
      </c>
      <c r="C78" s="13">
        <f>CENTRALA!C55+'Razem OW'!C55</f>
        <v>18923</v>
      </c>
      <c r="D78" s="13">
        <f>CENTRALA!D55+'Razem OW'!D55</f>
        <v>22741</v>
      </c>
      <c r="E78" s="13">
        <f t="shared" si="2"/>
        <v>3818</v>
      </c>
      <c r="F78" s="107">
        <f t="shared" si="3"/>
        <v>1.2018</v>
      </c>
      <c r="H78" s="127"/>
    </row>
    <row r="79" spans="1:8" s="12" customFormat="1" ht="33" customHeight="1">
      <c r="A79" s="73" t="s">
        <v>183</v>
      </c>
      <c r="B79" s="74" t="s">
        <v>147</v>
      </c>
      <c r="C79" s="11">
        <f>C80+C81</f>
        <v>84970</v>
      </c>
      <c r="D79" s="11">
        <f>D80+D81</f>
        <v>131791</v>
      </c>
      <c r="E79" s="11">
        <f t="shared" si="2"/>
        <v>46821</v>
      </c>
      <c r="F79" s="106">
        <f t="shared" si="3"/>
        <v>1.551</v>
      </c>
      <c r="G79" s="126"/>
      <c r="H79" s="127"/>
    </row>
    <row r="80" spans="1:8" ht="30" customHeight="1">
      <c r="A80" s="58" t="s">
        <v>122</v>
      </c>
      <c r="B80" s="59" t="s">
        <v>123</v>
      </c>
      <c r="C80" s="13">
        <v>84970</v>
      </c>
      <c r="D80" s="13">
        <f>C80+16758</f>
        <v>101728</v>
      </c>
      <c r="E80" s="13">
        <f t="shared" si="2"/>
        <v>16758</v>
      </c>
      <c r="F80" s="107">
        <f t="shared" si="3"/>
        <v>1.1972</v>
      </c>
      <c r="H80" s="127"/>
    </row>
    <row r="81" spans="1:8" ht="30" customHeight="1">
      <c r="A81" s="58" t="s">
        <v>124</v>
      </c>
      <c r="B81" s="63" t="s">
        <v>125</v>
      </c>
      <c r="C81" s="13">
        <v>0</v>
      </c>
      <c r="D81" s="13">
        <f>C81+30063</f>
        <v>30063</v>
      </c>
      <c r="E81" s="13">
        <f t="shared" si="2"/>
        <v>30063</v>
      </c>
      <c r="F81" s="107" t="str">
        <f t="shared" si="3"/>
        <v>-</v>
      </c>
      <c r="H81" s="127"/>
    </row>
    <row r="82" spans="1:8" s="12" customFormat="1" ht="39.75" customHeight="1">
      <c r="A82" s="73" t="s">
        <v>184</v>
      </c>
      <c r="B82" s="74" t="s">
        <v>154</v>
      </c>
      <c r="C82" s="11">
        <f>CENTRALA!C56+'Razem OW'!C56</f>
        <v>73751</v>
      </c>
      <c r="D82" s="11">
        <f>CENTRALA!D56+'Razem OW'!D56</f>
        <v>106307</v>
      </c>
      <c r="E82" s="11">
        <f t="shared" si="2"/>
        <v>32556</v>
      </c>
      <c r="F82" s="106">
        <f t="shared" si="3"/>
        <v>1.4414</v>
      </c>
      <c r="G82" s="126"/>
      <c r="H82" s="127"/>
    </row>
    <row r="83" spans="1:8" s="12" customFormat="1" ht="64.5" customHeight="1">
      <c r="A83" s="73" t="s">
        <v>185</v>
      </c>
      <c r="B83" s="74" t="s">
        <v>135</v>
      </c>
      <c r="C83" s="11">
        <f>C49-C50+C71-C74+C79-C82</f>
        <v>-856897</v>
      </c>
      <c r="D83" s="11">
        <f>D49-D50+D71-D74+D79-D82</f>
        <v>-856897</v>
      </c>
      <c r="E83" s="11" t="str">
        <f t="shared" si="2"/>
        <v>-</v>
      </c>
      <c r="F83" s="106">
        <f t="shared" si="3"/>
        <v>1</v>
      </c>
      <c r="G83" s="126"/>
      <c r="H83" s="127"/>
    </row>
    <row r="84" spans="1:8" s="12" customFormat="1" ht="33" customHeight="1">
      <c r="A84" s="73" t="s">
        <v>186</v>
      </c>
      <c r="B84" s="74" t="s">
        <v>145</v>
      </c>
      <c r="C84" s="11">
        <f>C85-C86</f>
        <v>0</v>
      </c>
      <c r="D84" s="11">
        <f>D85-D86</f>
        <v>0</v>
      </c>
      <c r="E84" s="11" t="str">
        <f t="shared" si="2"/>
        <v>-</v>
      </c>
      <c r="F84" s="106" t="str">
        <f t="shared" si="3"/>
        <v>-</v>
      </c>
      <c r="G84" s="126"/>
      <c r="H84" s="127"/>
    </row>
    <row r="85" spans="1:8" ht="30" customHeight="1">
      <c r="A85" s="58" t="s">
        <v>127</v>
      </c>
      <c r="B85" s="59" t="s">
        <v>128</v>
      </c>
      <c r="C85" s="13">
        <v>0</v>
      </c>
      <c r="D85" s="13">
        <f>C85</f>
        <v>0</v>
      </c>
      <c r="E85" s="13" t="str">
        <f t="shared" si="2"/>
        <v>-</v>
      </c>
      <c r="F85" s="107" t="str">
        <f t="shared" si="3"/>
        <v>-</v>
      </c>
      <c r="H85" s="127"/>
    </row>
    <row r="86" spans="1:8" ht="30" customHeight="1">
      <c r="A86" s="58" t="s">
        <v>129</v>
      </c>
      <c r="B86" s="59" t="s">
        <v>130</v>
      </c>
      <c r="C86" s="13">
        <v>0</v>
      </c>
      <c r="D86" s="13">
        <f>C86</f>
        <v>0</v>
      </c>
      <c r="E86" s="13" t="str">
        <f t="shared" si="2"/>
        <v>-</v>
      </c>
      <c r="F86" s="107" t="str">
        <f t="shared" si="3"/>
        <v>-</v>
      </c>
      <c r="H86" s="127"/>
    </row>
    <row r="87" spans="1:8" s="17" customFormat="1" ht="33" customHeight="1">
      <c r="A87" s="73" t="s">
        <v>187</v>
      </c>
      <c r="B87" s="75" t="s">
        <v>146</v>
      </c>
      <c r="C87" s="77">
        <f>C83+C84</f>
        <v>-856897</v>
      </c>
      <c r="D87" s="77">
        <f>D83+D84</f>
        <v>-856897</v>
      </c>
      <c r="E87" s="77" t="str">
        <f t="shared" si="2"/>
        <v>-</v>
      </c>
      <c r="F87" s="111">
        <f t="shared" si="3"/>
        <v>1</v>
      </c>
      <c r="G87" s="130"/>
      <c r="H87" s="127"/>
    </row>
    <row r="88" spans="1:8" s="17" customFormat="1" ht="69" customHeight="1">
      <c r="A88" s="73" t="s">
        <v>188</v>
      </c>
      <c r="B88" s="75" t="s">
        <v>131</v>
      </c>
      <c r="C88" s="77">
        <v>0</v>
      </c>
      <c r="D88" s="77">
        <v>0</v>
      </c>
      <c r="E88" s="77" t="str">
        <f t="shared" si="2"/>
        <v>-</v>
      </c>
      <c r="F88" s="111" t="str">
        <f t="shared" si="3"/>
        <v>-</v>
      </c>
      <c r="G88" s="130"/>
      <c r="H88" s="127"/>
    </row>
    <row r="89" spans="1:8" s="17" customFormat="1" ht="33" customHeight="1">
      <c r="A89" s="73" t="s">
        <v>189</v>
      </c>
      <c r="B89" s="75" t="s">
        <v>155</v>
      </c>
      <c r="C89" s="77">
        <f>C87-C88</f>
        <v>-856897</v>
      </c>
      <c r="D89" s="77">
        <f>D87-D88</f>
        <v>-856897</v>
      </c>
      <c r="E89" s="77" t="str">
        <f t="shared" si="2"/>
        <v>-</v>
      </c>
      <c r="F89" s="111">
        <f t="shared" si="3"/>
        <v>1</v>
      </c>
      <c r="G89" s="130"/>
      <c r="H89" s="127"/>
    </row>
    <row r="90" spans="1:8" s="17" customFormat="1" ht="33" customHeight="1">
      <c r="A90" s="56" t="s">
        <v>190</v>
      </c>
      <c r="B90" s="76" t="s">
        <v>132</v>
      </c>
      <c r="C90" s="77">
        <f>C7+C13+C20+C21+C22+C23+C71+C79</f>
        <v>60404244</v>
      </c>
      <c r="D90" s="77">
        <f>D7+D13+D20+D21+D22+D23+D71+D79</f>
        <v>60470036</v>
      </c>
      <c r="E90" s="77">
        <f t="shared" si="2"/>
        <v>65792</v>
      </c>
      <c r="F90" s="111">
        <f t="shared" si="3"/>
        <v>1.0011</v>
      </c>
      <c r="G90" s="130"/>
      <c r="H90" s="127"/>
    </row>
    <row r="91" spans="1:8" s="17" customFormat="1" ht="33" customHeight="1">
      <c r="A91" s="73" t="s">
        <v>191</v>
      </c>
      <c r="B91" s="75" t="s">
        <v>133</v>
      </c>
      <c r="C91" s="77">
        <f>C10+C16+C25+C26+C47+C48+C50+C74+C82</f>
        <v>61261141</v>
      </c>
      <c r="D91" s="77">
        <f>D10+D16+D25+D26+D47+D48+D50+D74+D82</f>
        <v>61326933</v>
      </c>
      <c r="E91" s="77">
        <f t="shared" si="2"/>
        <v>65792</v>
      </c>
      <c r="F91" s="111">
        <f t="shared" si="3"/>
        <v>1.0011</v>
      </c>
      <c r="G91" s="130"/>
      <c r="H91" s="127"/>
    </row>
    <row r="92" spans="1:3" ht="26.25">
      <c r="A92" s="18"/>
      <c r="B92" s="19"/>
      <c r="C92" s="20"/>
    </row>
    <row r="93" spans="1:5" ht="26.25">
      <c r="A93" s="18"/>
      <c r="B93" s="19"/>
      <c r="C93" s="21"/>
      <c r="E93" s="133"/>
    </row>
    <row r="94" spans="1:3" ht="26.25">
      <c r="A94" s="18"/>
      <c r="B94" s="19"/>
      <c r="C94" s="21"/>
    </row>
    <row r="95" spans="3:5" ht="26.25">
      <c r="C95" s="21"/>
      <c r="E95" s="133"/>
    </row>
    <row r="96" ht="26.25">
      <c r="C96" s="21"/>
    </row>
    <row r="97" ht="26.25">
      <c r="C97" s="21"/>
    </row>
    <row r="98" ht="26.25">
      <c r="C98" s="21"/>
    </row>
    <row r="99" ht="26.25">
      <c r="C99" s="21"/>
    </row>
    <row r="100" ht="26.25">
      <c r="C100" s="21"/>
    </row>
    <row r="101" ht="26.25">
      <c r="C101" s="21"/>
    </row>
    <row r="102" ht="26.25">
      <c r="C102" s="21"/>
    </row>
    <row r="103" ht="26.25">
      <c r="C103" s="21"/>
    </row>
    <row r="104" ht="26.25">
      <c r="C104" s="21"/>
    </row>
    <row r="105" ht="26.25">
      <c r="C105" s="21"/>
    </row>
    <row r="106" ht="26.25">
      <c r="C106" s="21"/>
    </row>
    <row r="107" ht="26.25">
      <c r="C107" s="21"/>
    </row>
    <row r="108" ht="26.25">
      <c r="C108" s="21"/>
    </row>
    <row r="109" ht="26.25">
      <c r="C109" s="21"/>
    </row>
    <row r="110" spans="2:3" ht="26.25">
      <c r="B110" s="22" t="s">
        <v>222</v>
      </c>
      <c r="C110" s="21"/>
    </row>
    <row r="111" ht="26.25">
      <c r="C111" s="21"/>
    </row>
  </sheetData>
  <sheetProtection/>
  <mergeCells count="8">
    <mergeCell ref="A1:F1"/>
    <mergeCell ref="E4:E5"/>
    <mergeCell ref="F4:F5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3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77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8923385</v>
      </c>
      <c r="D7" s="14">
        <f>D8+D9+D10+D12+D13+D14+D15+D16+D17+D18+D19+D20+D21+D22+D24+D25+D26+D27</f>
        <v>8923385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1015000</v>
      </c>
      <c r="D8" s="29">
        <f>C8</f>
        <v>1015000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711879</v>
      </c>
      <c r="D9" s="29">
        <f aca="true" t="shared" si="2" ref="D9:D27">C9</f>
        <v>711879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4485320</v>
      </c>
      <c r="D10" s="29">
        <f t="shared" si="2"/>
        <v>4485320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296897</v>
      </c>
      <c r="D11" s="29">
        <f t="shared" si="2"/>
        <v>296897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330077</v>
      </c>
      <c r="D12" s="29">
        <f t="shared" si="2"/>
        <v>330077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375544</v>
      </c>
      <c r="D13" s="29">
        <f t="shared" si="2"/>
        <v>375544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132331</v>
      </c>
      <c r="D14" s="29">
        <f t="shared" si="2"/>
        <v>132331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38464</v>
      </c>
      <c r="D15" s="29">
        <f t="shared" si="2"/>
        <v>38464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204078</v>
      </c>
      <c r="D16" s="29">
        <f t="shared" si="2"/>
        <v>204078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95731</v>
      </c>
      <c r="D17" s="29">
        <f t="shared" si="2"/>
        <v>95731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5439</v>
      </c>
      <c r="D18" s="29">
        <f t="shared" si="2"/>
        <v>5439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15754</v>
      </c>
      <c r="D19" s="29">
        <f t="shared" si="2"/>
        <v>15754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215885</v>
      </c>
      <c r="D20" s="29">
        <f t="shared" si="2"/>
        <v>215885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79000</v>
      </c>
      <c r="D21" s="29">
        <f t="shared" si="2"/>
        <v>79000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1213382</v>
      </c>
      <c r="D22" s="29">
        <f t="shared" si="2"/>
        <v>1213382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4750</v>
      </c>
      <c r="D23" s="29">
        <f t="shared" si="2"/>
        <v>4750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5501</v>
      </c>
      <c r="D27" s="29">
        <f t="shared" si="2"/>
        <v>5501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225732</v>
      </c>
      <c r="D29" s="91">
        <f>C29</f>
        <v>225732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66807</v>
      </c>
      <c r="D30" s="27">
        <f>D31+D32+D33+D41+D42+D48+D49+D50+D47</f>
        <v>66807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2340</v>
      </c>
      <c r="D31" s="28">
        <f>C31</f>
        <v>2340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11238</v>
      </c>
      <c r="D32" s="28">
        <f>C32</f>
        <v>11238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407</v>
      </c>
      <c r="D33" s="28">
        <f>D34+D36+D37+D38+D39+D40</f>
        <v>407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25</v>
      </c>
      <c r="D34" s="28">
        <f>C34</f>
        <v>25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25</v>
      </c>
      <c r="D35" s="28">
        <f>C35</f>
        <v>25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37</v>
      </c>
      <c r="D36" s="28">
        <f>C36</f>
        <v>37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320</v>
      </c>
      <c r="D39" s="28">
        <f t="shared" si="4"/>
        <v>320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25</v>
      </c>
      <c r="D40" s="28">
        <f t="shared" si="4"/>
        <v>25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38921</v>
      </c>
      <c r="D41" s="28">
        <f t="shared" si="4"/>
        <v>38921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7829</v>
      </c>
      <c r="D42" s="28">
        <f>SUM(D43:D46)</f>
        <v>7829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5912</v>
      </c>
      <c r="D43" s="28">
        <f>C43</f>
        <v>5912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953</v>
      </c>
      <c r="D44" s="28">
        <f>C44</f>
        <v>953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964</v>
      </c>
      <c r="D46" s="28">
        <f>C46</f>
        <v>964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5721</v>
      </c>
      <c r="D48" s="28">
        <f t="shared" si="4"/>
        <v>5721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87</v>
      </c>
      <c r="D49" s="28">
        <f>C49</f>
        <v>87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264</v>
      </c>
      <c r="D50" s="28">
        <f>C50</f>
        <v>264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37578</v>
      </c>
      <c r="D51" s="31">
        <f>SUM(D52:D55)</f>
        <v>37495</v>
      </c>
      <c r="E51" s="11">
        <f t="shared" si="3"/>
        <v>-83</v>
      </c>
      <c r="F51" s="103">
        <f t="shared" si="1"/>
        <v>0.9978</v>
      </c>
    </row>
    <row r="52" spans="1:6" ht="47.25" customHeight="1">
      <c r="A52" s="35" t="s">
        <v>118</v>
      </c>
      <c r="B52" s="44" t="s">
        <v>143</v>
      </c>
      <c r="C52" s="86">
        <v>103</v>
      </c>
      <c r="D52" s="28">
        <f>C52-83</f>
        <v>20</v>
      </c>
      <c r="E52" s="79">
        <f>IF(C52=D52,"-",D52-C52)</f>
        <v>-83</v>
      </c>
      <c r="F52" s="99">
        <f t="shared" si="1"/>
        <v>0.1942</v>
      </c>
    </row>
    <row r="53" spans="1:6" ht="31.5" customHeight="1">
      <c r="A53" s="35" t="s">
        <v>35</v>
      </c>
      <c r="B53" s="44" t="s">
        <v>63</v>
      </c>
      <c r="C53" s="86">
        <v>34675</v>
      </c>
      <c r="D53" s="28">
        <f>C53</f>
        <v>34675</v>
      </c>
      <c r="E53" s="79" t="str">
        <f>IF(C53=D53,"-",D53-C53)</f>
        <v>-</v>
      </c>
      <c r="F53" s="99">
        <f t="shared" si="1"/>
        <v>1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2800</v>
      </c>
      <c r="D55" s="28">
        <f>C55</f>
        <v>2800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10742</v>
      </c>
      <c r="D56" s="31">
        <f>C56+8605</f>
        <v>19347</v>
      </c>
      <c r="E56" s="11">
        <f>IF(C56=D56,"-",D56-C56)</f>
        <v>8605</v>
      </c>
      <c r="F56" s="103">
        <f>IF(C56=0,"-",D56/C56)</f>
        <v>1.8011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J110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5" width="22.75390625" style="2" customWidth="1"/>
    <col min="6" max="6" width="25.87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78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1447601</v>
      </c>
      <c r="D7" s="14">
        <f>D8+D9+D10+D12+D13+D14+D15+D16+D17+D18+D19+D20+D21+D22+D24+D25+D26+D27</f>
        <v>1447601</v>
      </c>
      <c r="E7" s="11" t="str">
        <f>IF(C7=D7,"-",D7-C7)</f>
        <v>-</v>
      </c>
      <c r="F7" s="97">
        <f>IF(C7=0,"-",D7/C7)</f>
        <v>1</v>
      </c>
    </row>
    <row r="8" spans="1:10" ht="31.5" customHeight="1">
      <c r="A8" s="33" t="s">
        <v>1</v>
      </c>
      <c r="B8" s="80" t="s">
        <v>159</v>
      </c>
      <c r="C8" s="86">
        <v>181227</v>
      </c>
      <c r="D8" s="29">
        <f>C8</f>
        <v>181227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  <c r="J8" s="123"/>
    </row>
    <row r="9" spans="1:10" ht="31.5" customHeight="1">
      <c r="A9" s="33" t="s">
        <v>2</v>
      </c>
      <c r="B9" s="80" t="s">
        <v>160</v>
      </c>
      <c r="C9" s="86">
        <v>109017</v>
      </c>
      <c r="D9" s="29">
        <f aca="true" t="shared" si="2" ref="D9:D27">C9</f>
        <v>109017</v>
      </c>
      <c r="E9" s="98" t="str">
        <f t="shared" si="0"/>
        <v>-</v>
      </c>
      <c r="F9" s="99">
        <f t="shared" si="1"/>
        <v>1</v>
      </c>
      <c r="J9" s="123"/>
    </row>
    <row r="10" spans="1:10" ht="31.5" customHeight="1">
      <c r="A10" s="33" t="s">
        <v>3</v>
      </c>
      <c r="B10" s="80" t="s">
        <v>157</v>
      </c>
      <c r="C10" s="86">
        <v>679704</v>
      </c>
      <c r="D10" s="29">
        <f t="shared" si="2"/>
        <v>679704</v>
      </c>
      <c r="E10" s="98" t="str">
        <f t="shared" si="0"/>
        <v>-</v>
      </c>
      <c r="F10" s="99">
        <f t="shared" si="1"/>
        <v>1</v>
      </c>
      <c r="J10" s="123"/>
    </row>
    <row r="11" spans="1:10" ht="31.5" customHeight="1">
      <c r="A11" s="81" t="s">
        <v>64</v>
      </c>
      <c r="B11" s="38" t="s">
        <v>65</v>
      </c>
      <c r="C11" s="86">
        <v>40348</v>
      </c>
      <c r="D11" s="29">
        <f t="shared" si="2"/>
        <v>40348</v>
      </c>
      <c r="E11" s="98" t="str">
        <f t="shared" si="0"/>
        <v>-</v>
      </c>
      <c r="F11" s="99">
        <f t="shared" si="1"/>
        <v>1</v>
      </c>
      <c r="J11" s="123"/>
    </row>
    <row r="12" spans="1:10" ht="31.5" customHeight="1">
      <c r="A12" s="33" t="s">
        <v>4</v>
      </c>
      <c r="B12" s="80" t="s">
        <v>166</v>
      </c>
      <c r="C12" s="86">
        <v>53729</v>
      </c>
      <c r="D12" s="29">
        <f t="shared" si="2"/>
        <v>53729</v>
      </c>
      <c r="E12" s="98" t="str">
        <f t="shared" si="0"/>
        <v>-</v>
      </c>
      <c r="F12" s="99">
        <f t="shared" si="1"/>
        <v>1</v>
      </c>
      <c r="J12" s="123"/>
    </row>
    <row r="13" spans="1:10" ht="31.5" customHeight="1">
      <c r="A13" s="33" t="s">
        <v>5</v>
      </c>
      <c r="B13" s="80" t="s">
        <v>161</v>
      </c>
      <c r="C13" s="86">
        <v>48939</v>
      </c>
      <c r="D13" s="29">
        <f t="shared" si="2"/>
        <v>48939</v>
      </c>
      <c r="E13" s="98" t="str">
        <f t="shared" si="0"/>
        <v>-</v>
      </c>
      <c r="F13" s="99">
        <f t="shared" si="1"/>
        <v>1</v>
      </c>
      <c r="J13" s="123"/>
    </row>
    <row r="14" spans="1:10" ht="31.5" customHeight="1">
      <c r="A14" s="33" t="s">
        <v>6</v>
      </c>
      <c r="B14" s="80" t="s">
        <v>170</v>
      </c>
      <c r="C14" s="86">
        <v>42440</v>
      </c>
      <c r="D14" s="29">
        <f t="shared" si="2"/>
        <v>42440</v>
      </c>
      <c r="E14" s="98" t="str">
        <f t="shared" si="0"/>
        <v>-</v>
      </c>
      <c r="F14" s="99">
        <f t="shared" si="1"/>
        <v>1</v>
      </c>
      <c r="J14" s="123"/>
    </row>
    <row r="15" spans="1:10" ht="31.5" customHeight="1">
      <c r="A15" s="33" t="s">
        <v>7</v>
      </c>
      <c r="B15" s="80" t="s">
        <v>169</v>
      </c>
      <c r="C15" s="86">
        <v>8203</v>
      </c>
      <c r="D15" s="29">
        <f t="shared" si="2"/>
        <v>8203</v>
      </c>
      <c r="E15" s="98" t="str">
        <f>IF(C15=D15,"-",D15-C15)</f>
        <v>-</v>
      </c>
      <c r="F15" s="99">
        <f>IF(C15=0,"-",D15/C15)</f>
        <v>1</v>
      </c>
      <c r="J15" s="123"/>
    </row>
    <row r="16" spans="1:10" ht="31.5" customHeight="1">
      <c r="A16" s="33" t="s">
        <v>8</v>
      </c>
      <c r="B16" s="80" t="s">
        <v>162</v>
      </c>
      <c r="C16" s="86">
        <v>45953</v>
      </c>
      <c r="D16" s="29">
        <f t="shared" si="2"/>
        <v>45953</v>
      </c>
      <c r="E16" s="98" t="str">
        <f t="shared" si="0"/>
        <v>-</v>
      </c>
      <c r="F16" s="99">
        <f t="shared" si="1"/>
        <v>1</v>
      </c>
      <c r="J16" s="123"/>
    </row>
    <row r="17" spans="1:10" ht="31.5" customHeight="1">
      <c r="A17" s="33" t="s">
        <v>9</v>
      </c>
      <c r="B17" s="80" t="s">
        <v>163</v>
      </c>
      <c r="C17" s="86">
        <v>12510</v>
      </c>
      <c r="D17" s="29">
        <f t="shared" si="2"/>
        <v>12510</v>
      </c>
      <c r="E17" s="98" t="str">
        <f t="shared" si="0"/>
        <v>-</v>
      </c>
      <c r="F17" s="99">
        <f t="shared" si="1"/>
        <v>1</v>
      </c>
      <c r="J17" s="123"/>
    </row>
    <row r="18" spans="1:10" ht="31.5" customHeight="1">
      <c r="A18" s="33" t="s">
        <v>10</v>
      </c>
      <c r="B18" s="80" t="s">
        <v>171</v>
      </c>
      <c r="C18" s="86">
        <v>1300</v>
      </c>
      <c r="D18" s="29">
        <f t="shared" si="2"/>
        <v>1300</v>
      </c>
      <c r="E18" s="98" t="str">
        <f t="shared" si="0"/>
        <v>-</v>
      </c>
      <c r="F18" s="99">
        <f t="shared" si="1"/>
        <v>1</v>
      </c>
      <c r="J18" s="123"/>
    </row>
    <row r="19" spans="1:10" ht="46.5" customHeight="1">
      <c r="A19" s="33" t="s">
        <v>11</v>
      </c>
      <c r="B19" s="80" t="s">
        <v>164</v>
      </c>
      <c r="C19" s="86">
        <v>4297</v>
      </c>
      <c r="D19" s="29">
        <f t="shared" si="2"/>
        <v>4297</v>
      </c>
      <c r="E19" s="98" t="str">
        <f t="shared" si="0"/>
        <v>-</v>
      </c>
      <c r="F19" s="99">
        <f t="shared" si="1"/>
        <v>1</v>
      </c>
      <c r="J19" s="123"/>
    </row>
    <row r="20" spans="1:10" ht="31.5" customHeight="1">
      <c r="A20" s="33" t="s">
        <v>12</v>
      </c>
      <c r="B20" s="80" t="s">
        <v>165</v>
      </c>
      <c r="C20" s="86">
        <v>36241</v>
      </c>
      <c r="D20" s="29">
        <f t="shared" si="2"/>
        <v>36241</v>
      </c>
      <c r="E20" s="98" t="str">
        <f t="shared" si="0"/>
        <v>-</v>
      </c>
      <c r="F20" s="99">
        <f t="shared" si="1"/>
        <v>1</v>
      </c>
      <c r="J20" s="123"/>
    </row>
    <row r="21" spans="1:10" ht="31.5" customHeight="1">
      <c r="A21" s="33" t="s">
        <v>14</v>
      </c>
      <c r="B21" s="39" t="s">
        <v>13</v>
      </c>
      <c r="C21" s="86">
        <v>17500</v>
      </c>
      <c r="D21" s="29">
        <f t="shared" si="2"/>
        <v>17500</v>
      </c>
      <c r="E21" s="98" t="str">
        <f t="shared" si="0"/>
        <v>-</v>
      </c>
      <c r="F21" s="99">
        <f t="shared" si="1"/>
        <v>1</v>
      </c>
      <c r="J21" s="123"/>
    </row>
    <row r="22" spans="1:10" ht="31.5" customHeight="1">
      <c r="A22" s="34" t="s">
        <v>15</v>
      </c>
      <c r="B22" s="80" t="s">
        <v>167</v>
      </c>
      <c r="C22" s="86">
        <v>203300</v>
      </c>
      <c r="D22" s="29">
        <f t="shared" si="2"/>
        <v>203300</v>
      </c>
      <c r="E22" s="98" t="str">
        <f t="shared" si="0"/>
        <v>-</v>
      </c>
      <c r="F22" s="99">
        <f t="shared" si="1"/>
        <v>1</v>
      </c>
      <c r="J22" s="123"/>
    </row>
    <row r="23" spans="1:10" ht="31.5" customHeight="1">
      <c r="A23" s="32" t="s">
        <v>172</v>
      </c>
      <c r="B23" s="38" t="s">
        <v>66</v>
      </c>
      <c r="C23" s="86">
        <v>700</v>
      </c>
      <c r="D23" s="29">
        <f t="shared" si="2"/>
        <v>700</v>
      </c>
      <c r="E23" s="98" t="str">
        <f t="shared" si="0"/>
        <v>-</v>
      </c>
      <c r="F23" s="99">
        <f t="shared" si="1"/>
        <v>1</v>
      </c>
      <c r="J23" s="123"/>
    </row>
    <row r="24" spans="1:10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  <c r="J24" s="123"/>
    </row>
    <row r="25" spans="1:10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  <c r="J25" s="123"/>
    </row>
    <row r="26" spans="1:10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  <c r="J26" s="123"/>
    </row>
    <row r="27" spans="1:10" ht="31.5" customHeight="1">
      <c r="A27" s="35" t="s">
        <v>138</v>
      </c>
      <c r="B27" s="41" t="s">
        <v>141</v>
      </c>
      <c r="C27" s="86">
        <v>3241</v>
      </c>
      <c r="D27" s="29">
        <f t="shared" si="2"/>
        <v>3241</v>
      </c>
      <c r="E27" s="98" t="str">
        <f>IF(C27=D27,"-",D27-C27)</f>
        <v>-</v>
      </c>
      <c r="F27" s="99">
        <f>IF(C27=0,"-",D27/C27)</f>
        <v>1</v>
      </c>
      <c r="J27" s="123"/>
    </row>
    <row r="28" spans="1:10" s="5" customFormat="1" ht="31.5" customHeight="1">
      <c r="A28" s="36" t="s">
        <v>68</v>
      </c>
      <c r="B28" s="42" t="s">
        <v>69</v>
      </c>
      <c r="C28" s="87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  <c r="J28" s="123"/>
    </row>
    <row r="29" spans="1:6" s="5" customFormat="1" ht="31.5" customHeight="1">
      <c r="A29" s="36" t="s">
        <v>67</v>
      </c>
      <c r="B29" s="42" t="s">
        <v>70</v>
      </c>
      <c r="C29" s="87">
        <v>50522</v>
      </c>
      <c r="D29" s="91">
        <f>C29</f>
        <v>50522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14589</v>
      </c>
      <c r="D30" s="27">
        <f>D31+D32+D33+D41+D42+D48+D49+D50+D47</f>
        <v>14589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850</v>
      </c>
      <c r="D31" s="28">
        <f>C31</f>
        <v>850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1900</v>
      </c>
      <c r="D32" s="28">
        <f>C32</f>
        <v>1900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112</v>
      </c>
      <c r="D33" s="28">
        <f>D34+D36+D37+D38+D39+D40</f>
        <v>112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0</v>
      </c>
      <c r="D34" s="28">
        <f>C34</f>
        <v>0</v>
      </c>
      <c r="E34" s="98" t="str">
        <f t="shared" si="3"/>
        <v>-</v>
      </c>
      <c r="F34" s="99" t="str">
        <f t="shared" si="1"/>
        <v>-</v>
      </c>
    </row>
    <row r="35" spans="1:6" ht="28.5" customHeight="1">
      <c r="A35" s="46" t="s">
        <v>46</v>
      </c>
      <c r="B35" s="48" t="s">
        <v>39</v>
      </c>
      <c r="C35" s="79">
        <v>0</v>
      </c>
      <c r="D35" s="28">
        <f>C35</f>
        <v>0</v>
      </c>
      <c r="E35" s="98" t="str">
        <f t="shared" si="3"/>
        <v>-</v>
      </c>
      <c r="F35" s="99" t="str">
        <f t="shared" si="1"/>
        <v>-</v>
      </c>
    </row>
    <row r="36" spans="1:6" ht="28.5" customHeight="1">
      <c r="A36" s="46" t="s">
        <v>47</v>
      </c>
      <c r="B36" s="47" t="s">
        <v>40</v>
      </c>
      <c r="C36" s="79">
        <v>5</v>
      </c>
      <c r="D36" s="28">
        <f>C36</f>
        <v>5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4" ref="D37:D50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81</v>
      </c>
      <c r="D39" s="28">
        <f t="shared" si="4"/>
        <v>81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26</v>
      </c>
      <c r="D40" s="28">
        <f t="shared" si="4"/>
        <v>26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8130</v>
      </c>
      <c r="D41" s="28">
        <f t="shared" si="4"/>
        <v>8130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1641</v>
      </c>
      <c r="D42" s="28">
        <f>SUM(D43:D46)</f>
        <v>1641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1235</v>
      </c>
      <c r="D43" s="28">
        <f>C43</f>
        <v>1235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199</v>
      </c>
      <c r="D44" s="28">
        <f>C44</f>
        <v>199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207</v>
      </c>
      <c r="D46" s="28">
        <f>C46</f>
        <v>207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1604</v>
      </c>
      <c r="D48" s="28">
        <f t="shared" si="4"/>
        <v>1604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172</v>
      </c>
      <c r="D49" s="28">
        <f t="shared" si="4"/>
        <v>172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79">
        <v>180</v>
      </c>
      <c r="D50" s="28">
        <f t="shared" si="4"/>
        <v>180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5110</v>
      </c>
      <c r="D51" s="31">
        <f>SUM(D52:D55)</f>
        <v>14499</v>
      </c>
      <c r="E51" s="11">
        <f t="shared" si="3"/>
        <v>9389</v>
      </c>
      <c r="F51" s="103">
        <f t="shared" si="1"/>
        <v>2.8374</v>
      </c>
    </row>
    <row r="52" spans="1:6" ht="47.25" customHeight="1">
      <c r="A52" s="35" t="s">
        <v>118</v>
      </c>
      <c r="B52" s="44" t="s">
        <v>143</v>
      </c>
      <c r="C52" s="79">
        <v>10</v>
      </c>
      <c r="D52" s="28">
        <f>C52</f>
        <v>10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79">
        <v>5000</v>
      </c>
      <c r="D53" s="28">
        <f>C53+8989</f>
        <v>13989</v>
      </c>
      <c r="E53" s="79">
        <f>IF(C53=D53,"-",D53-C53)</f>
        <v>8989</v>
      </c>
      <c r="F53" s="99">
        <f t="shared" si="1"/>
        <v>2.7978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100</v>
      </c>
      <c r="D55" s="28">
        <f>C55+400</f>
        <v>500</v>
      </c>
      <c r="E55" s="79">
        <f>IF(C55=D55,"-",D55-C55)</f>
        <v>400</v>
      </c>
      <c r="F55" s="99">
        <f t="shared" si="1"/>
        <v>5</v>
      </c>
    </row>
    <row r="56" spans="1:6" ht="32.25" customHeight="1">
      <c r="A56" s="37" t="s">
        <v>126</v>
      </c>
      <c r="B56" s="49" t="s">
        <v>154</v>
      </c>
      <c r="C56" s="89">
        <v>10</v>
      </c>
      <c r="D56" s="31">
        <f>C56+2204</f>
        <v>2214</v>
      </c>
      <c r="E56" s="11">
        <f>IF(C56=D56,"-",D56-C56)</f>
        <v>2204</v>
      </c>
      <c r="F56" s="103">
        <f>IF(C56=0,"-",D56/C56)</f>
        <v>221.4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17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79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2974361</v>
      </c>
      <c r="D7" s="14">
        <f>D8+D9+D10+D12+D13+D14+D15+D16+D17+D18+D19+D20+D21+D22+D24+D25+D26+D27</f>
        <v>2974361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400500</v>
      </c>
      <c r="D8" s="29">
        <f>C8</f>
        <v>400500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213388</v>
      </c>
      <c r="D9" s="29">
        <f aca="true" t="shared" si="2" ref="D9:D27">C9</f>
        <v>213388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1387960</v>
      </c>
      <c r="D10" s="29">
        <f t="shared" si="2"/>
        <v>1387960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93870</v>
      </c>
      <c r="D11" s="29">
        <f t="shared" si="2"/>
        <v>93870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94009</v>
      </c>
      <c r="D12" s="29">
        <f t="shared" si="2"/>
        <v>94009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114871</v>
      </c>
      <c r="D13" s="29">
        <f t="shared" si="2"/>
        <v>114871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74702</v>
      </c>
      <c r="D14" s="29">
        <f t="shared" si="2"/>
        <v>74702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15452</v>
      </c>
      <c r="D15" s="29">
        <f t="shared" si="2"/>
        <v>15452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100717</v>
      </c>
      <c r="D16" s="29">
        <f t="shared" si="2"/>
        <v>100717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28385</v>
      </c>
      <c r="D17" s="29">
        <f t="shared" si="2"/>
        <v>28385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2283</v>
      </c>
      <c r="D18" s="29">
        <f t="shared" si="2"/>
        <v>2283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5826</v>
      </c>
      <c r="D19" s="29">
        <f t="shared" si="2"/>
        <v>5826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76085</v>
      </c>
      <c r="D20" s="29">
        <f t="shared" si="2"/>
        <v>76085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32350</v>
      </c>
      <c r="D21" s="29">
        <f t="shared" si="2"/>
        <v>32350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412654</v>
      </c>
      <c r="D22" s="29">
        <f t="shared" si="2"/>
        <v>412654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2000</v>
      </c>
      <c r="D23" s="29">
        <f t="shared" si="2"/>
        <v>2000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15179</v>
      </c>
      <c r="D27" s="29">
        <f t="shared" si="2"/>
        <v>15179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103397</v>
      </c>
      <c r="D29" s="91">
        <f>C29</f>
        <v>103397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23685</v>
      </c>
      <c r="D30" s="27">
        <f>D31+D32+D33+D41+D42+D48+D49+D50+D47</f>
        <v>23685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881</v>
      </c>
      <c r="D31" s="28">
        <f>C31</f>
        <v>881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2269</v>
      </c>
      <c r="D32" s="28">
        <f>C32</f>
        <v>2269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106</v>
      </c>
      <c r="D33" s="28">
        <f>D34+D36+D37+D38+D39+D40</f>
        <v>106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23</v>
      </c>
      <c r="D34" s="28">
        <f>C34</f>
        <v>23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23</v>
      </c>
      <c r="D35" s="28">
        <f>C35</f>
        <v>23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53</v>
      </c>
      <c r="D39" s="28">
        <f t="shared" si="4"/>
        <v>53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30</v>
      </c>
      <c r="D40" s="28">
        <f t="shared" si="4"/>
        <v>30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12812</v>
      </c>
      <c r="D41" s="28">
        <f t="shared" si="4"/>
        <v>12812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2588</v>
      </c>
      <c r="D42" s="28">
        <f>SUM(D43:D46)</f>
        <v>2588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1946</v>
      </c>
      <c r="D43" s="28">
        <f>C43</f>
        <v>1946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314</v>
      </c>
      <c r="D44" s="28">
        <f>C44</f>
        <v>314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328</v>
      </c>
      <c r="D46" s="28">
        <f>C46</f>
        <v>328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4343</v>
      </c>
      <c r="D48" s="28">
        <f t="shared" si="4"/>
        <v>4343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468</v>
      </c>
      <c r="D49" s="28">
        <f>C49</f>
        <v>468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218</v>
      </c>
      <c r="D50" s="28">
        <f>C50</f>
        <v>218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10600</v>
      </c>
      <c r="D51" s="31">
        <f>SUM(D52:D55)</f>
        <v>10600</v>
      </c>
      <c r="E51" s="11" t="str">
        <f t="shared" si="3"/>
        <v>-</v>
      </c>
      <c r="F51" s="103">
        <f t="shared" si="1"/>
        <v>1</v>
      </c>
    </row>
    <row r="52" spans="1:6" ht="47.25" customHeight="1">
      <c r="A52" s="35" t="s">
        <v>118</v>
      </c>
      <c r="B52" s="44" t="s">
        <v>143</v>
      </c>
      <c r="C52" s="86">
        <v>62</v>
      </c>
      <c r="D52" s="28">
        <f>C52-59</f>
        <v>3</v>
      </c>
      <c r="E52" s="79">
        <f>IF(C52=D52,"-",D52-C52)</f>
        <v>-59</v>
      </c>
      <c r="F52" s="99">
        <f t="shared" si="1"/>
        <v>0.0484</v>
      </c>
    </row>
    <row r="53" spans="1:6" ht="31.5" customHeight="1">
      <c r="A53" s="35" t="s">
        <v>35</v>
      </c>
      <c r="B53" s="44" t="s">
        <v>63</v>
      </c>
      <c r="C53" s="86">
        <v>10288</v>
      </c>
      <c r="D53" s="28">
        <f>C53</f>
        <v>10288</v>
      </c>
      <c r="E53" s="79" t="str">
        <f>IF(C53=D53,"-",D53-C53)</f>
        <v>-</v>
      </c>
      <c r="F53" s="99">
        <f t="shared" si="1"/>
        <v>1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250</v>
      </c>
      <c r="D55" s="28">
        <f>C55+59</f>
        <v>309</v>
      </c>
      <c r="E55" s="79">
        <f>IF(C55=D55,"-",D55-C55)</f>
        <v>59</v>
      </c>
      <c r="F55" s="99">
        <f t="shared" si="1"/>
        <v>1.236</v>
      </c>
    </row>
    <row r="56" spans="1:6" ht="32.25" customHeight="1">
      <c r="A56" s="37" t="s">
        <v>126</v>
      </c>
      <c r="B56" s="49" t="s">
        <v>154</v>
      </c>
      <c r="C56" s="31">
        <v>1888</v>
      </c>
      <c r="D56" s="31">
        <f>C56</f>
        <v>1888</v>
      </c>
      <c r="E56" s="11" t="str">
        <f>IF(C56=D56,"-",D56-C56)</f>
        <v>-</v>
      </c>
      <c r="F56" s="103">
        <f>IF(C56=0,"-",D56/C56)</f>
        <v>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80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1745703</v>
      </c>
      <c r="D7" s="14">
        <f>D8+D9+D10+D12+D13+D14+D15+D16+D17+D18+D19+D20+D21+D22+D24+D25+D26+D27</f>
        <v>1745703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230000</v>
      </c>
      <c r="D8" s="29">
        <f>C8</f>
        <v>230000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149345</v>
      </c>
      <c r="D9" s="29">
        <f aca="true" t="shared" si="2" ref="D9:D27">C9</f>
        <v>149345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838765</v>
      </c>
      <c r="D10" s="29">
        <f t="shared" si="2"/>
        <v>838765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49520</v>
      </c>
      <c r="D11" s="29">
        <f t="shared" si="2"/>
        <v>49520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68320</v>
      </c>
      <c r="D12" s="29">
        <f t="shared" si="2"/>
        <v>68320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41650</v>
      </c>
      <c r="D13" s="29">
        <f t="shared" si="2"/>
        <v>41650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22902</v>
      </c>
      <c r="D14" s="29">
        <f t="shared" si="2"/>
        <v>22902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7800</v>
      </c>
      <c r="D15" s="29">
        <f t="shared" si="2"/>
        <v>7800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59500</v>
      </c>
      <c r="D16" s="29">
        <f t="shared" si="2"/>
        <v>59500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14650</v>
      </c>
      <c r="D17" s="29">
        <f t="shared" si="2"/>
        <v>14650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1220</v>
      </c>
      <c r="D18" s="29">
        <f t="shared" si="2"/>
        <v>1220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4659</v>
      </c>
      <c r="D19" s="29">
        <f t="shared" si="2"/>
        <v>4659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35596</v>
      </c>
      <c r="D20" s="29">
        <f t="shared" si="2"/>
        <v>35596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19000</v>
      </c>
      <c r="D21" s="29">
        <f t="shared" si="2"/>
        <v>19000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252000</v>
      </c>
      <c r="D22" s="29">
        <f t="shared" si="2"/>
        <v>252000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2000</v>
      </c>
      <c r="D23" s="29">
        <f t="shared" si="2"/>
        <v>2000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296</v>
      </c>
      <c r="D27" s="29">
        <f t="shared" si="2"/>
        <v>296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66040</v>
      </c>
      <c r="D29" s="91">
        <f>C29</f>
        <v>66040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14991</v>
      </c>
      <c r="D30" s="27">
        <f>D31+D32+D33+D41+D42+D48+D49+D50+D47</f>
        <v>14991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571</v>
      </c>
      <c r="D31" s="28">
        <f>C31</f>
        <v>571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934</v>
      </c>
      <c r="D32" s="28">
        <f>C32</f>
        <v>934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190</v>
      </c>
      <c r="D33" s="28">
        <f>D34+D36+D37+D38+D39+D40</f>
        <v>190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15</v>
      </c>
      <c r="D34" s="28">
        <f>C34</f>
        <v>15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15</v>
      </c>
      <c r="D35" s="28">
        <f>C35</f>
        <v>15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33</v>
      </c>
      <c r="D36" s="28">
        <f>C36</f>
        <v>33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137</v>
      </c>
      <c r="D39" s="28">
        <f t="shared" si="4"/>
        <v>137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5</v>
      </c>
      <c r="D40" s="28">
        <f t="shared" si="4"/>
        <v>5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9054</v>
      </c>
      <c r="D41" s="28">
        <f t="shared" si="4"/>
        <v>9054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1833</v>
      </c>
      <c r="D42" s="28">
        <f>SUM(D43:D46)</f>
        <v>1833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1336</v>
      </c>
      <c r="D43" s="28">
        <f>C43</f>
        <v>1336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222</v>
      </c>
      <c r="D44" s="28">
        <f>C44</f>
        <v>222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>C45</f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275</v>
      </c>
      <c r="D46" s="28">
        <f>C46</f>
        <v>275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28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28">
        <v>1956</v>
      </c>
      <c r="D48" s="28">
        <f t="shared" si="4"/>
        <v>1956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28">
        <v>226</v>
      </c>
      <c r="D49" s="28">
        <f>C49</f>
        <v>226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28">
        <v>227</v>
      </c>
      <c r="D50" s="28">
        <f>C50</f>
        <v>227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7153</v>
      </c>
      <c r="D51" s="31">
        <f>SUM(D52:D55)</f>
        <v>4676</v>
      </c>
      <c r="E51" s="11">
        <f t="shared" si="3"/>
        <v>-2477</v>
      </c>
      <c r="F51" s="103">
        <f t="shared" si="1"/>
        <v>0.6537</v>
      </c>
    </row>
    <row r="52" spans="1:6" ht="47.25" customHeight="1">
      <c r="A52" s="35" t="s">
        <v>118</v>
      </c>
      <c r="B52" s="44" t="s">
        <v>143</v>
      </c>
      <c r="C52" s="79">
        <v>6</v>
      </c>
      <c r="D52" s="28">
        <f>C52</f>
        <v>6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79">
        <v>6645</v>
      </c>
      <c r="D53" s="28">
        <f>C53-5392</f>
        <v>1253</v>
      </c>
      <c r="E53" s="79">
        <f>IF(C53=D53,"-",D53-C53)</f>
        <v>-5392</v>
      </c>
      <c r="F53" s="99">
        <f t="shared" si="1"/>
        <v>0.1886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502</v>
      </c>
      <c r="D55" s="28">
        <f>C55+2915</f>
        <v>3417</v>
      </c>
      <c r="E55" s="79">
        <f>IF(C55=D55,"-",D55-C55)</f>
        <v>2915</v>
      </c>
      <c r="F55" s="99">
        <f t="shared" si="1"/>
        <v>6.8068</v>
      </c>
    </row>
    <row r="56" spans="1:6" ht="32.25" customHeight="1">
      <c r="A56" s="37" t="s">
        <v>126</v>
      </c>
      <c r="B56" s="49" t="s">
        <v>154</v>
      </c>
      <c r="C56" s="14">
        <v>49</v>
      </c>
      <c r="D56" s="31">
        <f>C56+665</f>
        <v>714</v>
      </c>
      <c r="E56" s="11">
        <f>IF(C56=D56,"-",D56-C56)</f>
        <v>665</v>
      </c>
      <c r="F56" s="103">
        <f>IF(C56=0,"-",D56/C56)</f>
        <v>14.5714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81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3377798</v>
      </c>
      <c r="D7" s="14">
        <f>D8+D9+D10+D12+D13+D14+D15+D16+D17+D18+D19+D20+D21+D22+D24+D25+D26+D27</f>
        <v>3377798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423654</v>
      </c>
      <c r="D8" s="29">
        <f>C8</f>
        <v>423654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290412</v>
      </c>
      <c r="D9" s="29">
        <f aca="true" t="shared" si="2" ref="D9:D27">C9</f>
        <v>290412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1575250</v>
      </c>
      <c r="D10" s="29">
        <f t="shared" si="2"/>
        <v>1575250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84015</v>
      </c>
      <c r="D11" s="29">
        <f t="shared" si="2"/>
        <v>84015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123632</v>
      </c>
      <c r="D12" s="29">
        <f t="shared" si="2"/>
        <v>123632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92819</v>
      </c>
      <c r="D13" s="29">
        <f t="shared" si="2"/>
        <v>92819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33610</v>
      </c>
      <c r="D14" s="29">
        <f t="shared" si="2"/>
        <v>33610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18475</v>
      </c>
      <c r="D15" s="29">
        <f t="shared" si="2"/>
        <v>18475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103116</v>
      </c>
      <c r="D16" s="29">
        <f t="shared" si="2"/>
        <v>103116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27000</v>
      </c>
      <c r="D17" s="29">
        <f t="shared" si="2"/>
        <v>27000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1197</v>
      </c>
      <c r="D18" s="29">
        <f t="shared" si="2"/>
        <v>1197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8565</v>
      </c>
      <c r="D19" s="29">
        <f t="shared" si="2"/>
        <v>8565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95765</v>
      </c>
      <c r="D20" s="29">
        <f t="shared" si="2"/>
        <v>95765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32750</v>
      </c>
      <c r="D21" s="29">
        <f t="shared" si="2"/>
        <v>32750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550729</v>
      </c>
      <c r="D22" s="29">
        <f t="shared" si="2"/>
        <v>550729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500</v>
      </c>
      <c r="D23" s="29">
        <f t="shared" si="2"/>
        <v>500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824</v>
      </c>
      <c r="D27" s="29">
        <f t="shared" si="2"/>
        <v>824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100395</v>
      </c>
      <c r="D29" s="91">
        <f>C29</f>
        <v>100395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29841</v>
      </c>
      <c r="D30" s="27">
        <f>D31+D32+D33+D41+D42+D48+D49+D50+D47</f>
        <v>29841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1462</v>
      </c>
      <c r="D31" s="28">
        <f>C31</f>
        <v>1462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2844</v>
      </c>
      <c r="D32" s="28">
        <f>C32</f>
        <v>2844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213</v>
      </c>
      <c r="D33" s="28">
        <f>D34+D36+D37+D38+D39+D40</f>
        <v>213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34</v>
      </c>
      <c r="D34" s="28">
        <f>C34</f>
        <v>34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34</v>
      </c>
      <c r="D35" s="28">
        <f>C35</f>
        <v>34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79">
        <v>6</v>
      </c>
      <c r="D37" s="28">
        <f aca="true" t="shared" si="4" ref="D37:D48">C37</f>
        <v>6</v>
      </c>
      <c r="E37" s="98" t="str">
        <f t="shared" si="3"/>
        <v>-</v>
      </c>
      <c r="F37" s="99">
        <f t="shared" si="1"/>
        <v>1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161</v>
      </c>
      <c r="D39" s="28">
        <f t="shared" si="4"/>
        <v>161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12</v>
      </c>
      <c r="D40" s="28">
        <f t="shared" si="4"/>
        <v>12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17675</v>
      </c>
      <c r="D41" s="28">
        <f t="shared" si="4"/>
        <v>17675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3587</v>
      </c>
      <c r="D42" s="28">
        <f>SUM(D43:D46)</f>
        <v>3587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2684</v>
      </c>
      <c r="D43" s="28">
        <f>C43</f>
        <v>2684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433</v>
      </c>
      <c r="D44" s="28">
        <f>C44</f>
        <v>433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470</v>
      </c>
      <c r="D46" s="28">
        <f>C46</f>
        <v>470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3812</v>
      </c>
      <c r="D48" s="28">
        <f t="shared" si="4"/>
        <v>3812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0</v>
      </c>
      <c r="D49" s="28">
        <f>C49</f>
        <v>0</v>
      </c>
      <c r="E49" s="98" t="str">
        <f t="shared" si="3"/>
        <v>-</v>
      </c>
      <c r="F49" s="102" t="str">
        <f t="shared" si="1"/>
        <v>-</v>
      </c>
    </row>
    <row r="50" spans="1:6" ht="31.5" customHeight="1">
      <c r="A50" s="35" t="s">
        <v>32</v>
      </c>
      <c r="B50" s="44" t="s">
        <v>33</v>
      </c>
      <c r="C50" s="79">
        <v>248</v>
      </c>
      <c r="D50" s="28">
        <f>C50</f>
        <v>248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9564</v>
      </c>
      <c r="D51" s="31">
        <f>SUM(D52:D55)</f>
        <v>9267</v>
      </c>
      <c r="E51" s="11">
        <f t="shared" si="3"/>
        <v>-297</v>
      </c>
      <c r="F51" s="103">
        <f t="shared" si="1"/>
        <v>0.9689</v>
      </c>
    </row>
    <row r="52" spans="1:6" ht="47.25" customHeight="1">
      <c r="A52" s="35" t="s">
        <v>118</v>
      </c>
      <c r="B52" s="44" t="s">
        <v>143</v>
      </c>
      <c r="C52" s="79">
        <v>50</v>
      </c>
      <c r="D52" s="28">
        <f>C52</f>
        <v>50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79">
        <v>7914</v>
      </c>
      <c r="D53" s="28">
        <f>C53+803</f>
        <v>8717</v>
      </c>
      <c r="E53" s="79">
        <f>IF(C53=D53,"-",D53-C53)</f>
        <v>803</v>
      </c>
      <c r="F53" s="99">
        <f t="shared" si="1"/>
        <v>1.1015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1600</v>
      </c>
      <c r="D55" s="28">
        <f>C55-676-424</f>
        <v>500</v>
      </c>
      <c r="E55" s="79">
        <f>IF(C55=D55,"-",D55-C55)</f>
        <v>-1100</v>
      </c>
      <c r="F55" s="99">
        <f t="shared" si="1"/>
        <v>0.3125</v>
      </c>
    </row>
    <row r="56" spans="1:6" ht="32.25" customHeight="1">
      <c r="A56" s="37" t="s">
        <v>126</v>
      </c>
      <c r="B56" s="49" t="s">
        <v>154</v>
      </c>
      <c r="C56" s="89">
        <v>3761</v>
      </c>
      <c r="D56" s="31">
        <f>C56+112+424</f>
        <v>4297</v>
      </c>
      <c r="E56" s="11">
        <f>IF(C56=D56,"-",D56-C56)</f>
        <v>536</v>
      </c>
      <c r="F56" s="103">
        <f>IF(C56=0,"-",D56/C56)</f>
        <v>1.1425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82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7120713</v>
      </c>
      <c r="D7" s="14">
        <f>D8+D9+D10+D12+D13+D14+D15+D16+D17+D18+D19+D20+D21+D22+D24+D25+D26+D27</f>
        <v>7120713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888414</v>
      </c>
      <c r="D8" s="29">
        <f>C8</f>
        <v>888414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628658</v>
      </c>
      <c r="D9" s="29">
        <f aca="true" t="shared" si="2" ref="D9:D27">C9</f>
        <v>628658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3210253</v>
      </c>
      <c r="D10" s="29">
        <f t="shared" si="2"/>
        <v>3210253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199456</v>
      </c>
      <c r="D11" s="29">
        <f t="shared" si="2"/>
        <v>199456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256222</v>
      </c>
      <c r="D12" s="29">
        <f t="shared" si="2"/>
        <v>256222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214165</v>
      </c>
      <c r="D13" s="29">
        <f t="shared" si="2"/>
        <v>214165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177432</v>
      </c>
      <c r="D14" s="29">
        <f t="shared" si="2"/>
        <v>177432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34511</v>
      </c>
      <c r="D15" s="29">
        <f t="shared" si="2"/>
        <v>34511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208838</v>
      </c>
      <c r="D16" s="29">
        <f t="shared" si="2"/>
        <v>208838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70000</v>
      </c>
      <c r="D17" s="29">
        <f t="shared" si="2"/>
        <v>70000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4061</v>
      </c>
      <c r="D18" s="29">
        <f t="shared" si="2"/>
        <v>4061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26622</v>
      </c>
      <c r="D19" s="29">
        <f t="shared" si="2"/>
        <v>26622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188591</v>
      </c>
      <c r="D20" s="29">
        <f t="shared" si="2"/>
        <v>188591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87110</v>
      </c>
      <c r="D21" s="29">
        <f t="shared" si="2"/>
        <v>87110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1086637</v>
      </c>
      <c r="D22" s="29">
        <f t="shared" si="2"/>
        <v>1086637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1946</v>
      </c>
      <c r="D23" s="29">
        <f t="shared" si="2"/>
        <v>1946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39199</v>
      </c>
      <c r="D27" s="29">
        <f t="shared" si="2"/>
        <v>39199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193789</v>
      </c>
      <c r="D29" s="91">
        <f>C29</f>
        <v>193789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58211</v>
      </c>
      <c r="D30" s="27">
        <f>D31+D32+D33+D41+D42+D48+D49+D50+D47</f>
        <v>58211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2293</v>
      </c>
      <c r="D31" s="28">
        <f>C31</f>
        <v>2293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6757</v>
      </c>
      <c r="D32" s="28">
        <f>C32</f>
        <v>6757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615</v>
      </c>
      <c r="D33" s="28">
        <f>D34+D36+D37+D38+D39+D40</f>
        <v>615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75</v>
      </c>
      <c r="D34" s="28">
        <f>C34</f>
        <v>75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75</v>
      </c>
      <c r="D35" s="28">
        <f>C35</f>
        <v>75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86">
        <v>13</v>
      </c>
      <c r="D37" s="28">
        <f aca="true" t="shared" si="4" ref="D37:D48">C37</f>
        <v>13</v>
      </c>
      <c r="E37" s="98" t="str">
        <f t="shared" si="3"/>
        <v>-</v>
      </c>
      <c r="F37" s="99">
        <f t="shared" si="1"/>
        <v>1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506</v>
      </c>
      <c r="D39" s="28">
        <f t="shared" si="4"/>
        <v>506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21</v>
      </c>
      <c r="D40" s="28">
        <f t="shared" si="4"/>
        <v>21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35549</v>
      </c>
      <c r="D41" s="28">
        <f t="shared" si="4"/>
        <v>35549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7166</v>
      </c>
      <c r="D42" s="28">
        <f>SUM(D43:D46)</f>
        <v>7166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5399</v>
      </c>
      <c r="D43" s="28">
        <f>C43</f>
        <v>5399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871</v>
      </c>
      <c r="D44" s="28">
        <f>C44</f>
        <v>871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896</v>
      </c>
      <c r="D46" s="28">
        <f>C46</f>
        <v>896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5198</v>
      </c>
      <c r="D48" s="28">
        <f t="shared" si="4"/>
        <v>5198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192</v>
      </c>
      <c r="D49" s="28">
        <f>C49</f>
        <v>192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441</v>
      </c>
      <c r="D50" s="28">
        <f>C50</f>
        <v>441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11423</v>
      </c>
      <c r="D51" s="31">
        <f>SUM(D52:D55)</f>
        <v>10090</v>
      </c>
      <c r="E51" s="11">
        <f t="shared" si="3"/>
        <v>-1333</v>
      </c>
      <c r="F51" s="103">
        <f t="shared" si="1"/>
        <v>0.8833</v>
      </c>
    </row>
    <row r="52" spans="1:6" ht="47.25" customHeight="1">
      <c r="A52" s="35" t="s">
        <v>118</v>
      </c>
      <c r="B52" s="44" t="s">
        <v>143</v>
      </c>
      <c r="C52" s="86">
        <v>390</v>
      </c>
      <c r="D52" s="28">
        <f>C52</f>
        <v>390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86">
        <v>10383</v>
      </c>
      <c r="D53" s="28">
        <f>C53-1333</f>
        <v>9050</v>
      </c>
      <c r="E53" s="79">
        <f>IF(C53=D53,"-",D53-C53)</f>
        <v>-1333</v>
      </c>
      <c r="F53" s="99">
        <f t="shared" si="1"/>
        <v>0.8716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650</v>
      </c>
      <c r="D55" s="28">
        <f>C55</f>
        <v>650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3058</v>
      </c>
      <c r="D56" s="31">
        <f>C56-208</f>
        <v>2850</v>
      </c>
      <c r="E56" s="11">
        <f>IF(C56=D56,"-",D56-C56)</f>
        <v>-208</v>
      </c>
      <c r="F56" s="103">
        <f>IF(C56=0,"-",D56/C56)</f>
        <v>0.932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ySplit="7" topLeftCell="A38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83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1941290</v>
      </c>
      <c r="D7" s="14">
        <f>D8+D9+D10+D12+D13+D14+D15+D16+D17+D18+D19+D20+D21+D22+D24+D25+D26+D27</f>
        <v>1941290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249780</v>
      </c>
      <c r="D8" s="29">
        <f>C8</f>
        <v>249780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131924</v>
      </c>
      <c r="D9" s="29">
        <f aca="true" t="shared" si="2" ref="D9:D27">C9</f>
        <v>131924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919237</v>
      </c>
      <c r="D10" s="29">
        <f t="shared" si="2"/>
        <v>919237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55678</v>
      </c>
      <c r="D11" s="29">
        <f t="shared" si="2"/>
        <v>55678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61987</v>
      </c>
      <c r="D12" s="29">
        <f t="shared" si="2"/>
        <v>61987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61628</v>
      </c>
      <c r="D13" s="29">
        <f t="shared" si="2"/>
        <v>61628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31000</v>
      </c>
      <c r="D14" s="29">
        <f t="shared" si="2"/>
        <v>31000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10360</v>
      </c>
      <c r="D15" s="29">
        <f t="shared" si="2"/>
        <v>10360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56386</v>
      </c>
      <c r="D16" s="29">
        <f t="shared" si="2"/>
        <v>56386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23150</v>
      </c>
      <c r="D17" s="29">
        <f t="shared" si="2"/>
        <v>23150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1300</v>
      </c>
      <c r="D18" s="29">
        <f t="shared" si="2"/>
        <v>1300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4765</v>
      </c>
      <c r="D19" s="29">
        <f t="shared" si="2"/>
        <v>4765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48528</v>
      </c>
      <c r="D20" s="29">
        <f t="shared" si="2"/>
        <v>48528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21872</v>
      </c>
      <c r="D21" s="29">
        <f t="shared" si="2"/>
        <v>21872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288322</v>
      </c>
      <c r="D22" s="29">
        <f t="shared" si="2"/>
        <v>288322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580</v>
      </c>
      <c r="D23" s="29">
        <f t="shared" si="2"/>
        <v>580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31051</v>
      </c>
      <c r="D27" s="29">
        <f t="shared" si="2"/>
        <v>31051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54852</v>
      </c>
      <c r="D29" s="91">
        <f>C29</f>
        <v>54852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17241</v>
      </c>
      <c r="D30" s="27">
        <f>D31+D32+D33+D41+D42+D48+D49+D50+D47</f>
        <v>17241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697</v>
      </c>
      <c r="D31" s="28">
        <f>C31</f>
        <v>697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1780</v>
      </c>
      <c r="D32" s="28">
        <f>C32</f>
        <v>1780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50</v>
      </c>
      <c r="D33" s="28">
        <f>D34+D36+D37+D38+D39+D40</f>
        <v>50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3</v>
      </c>
      <c r="D34" s="28">
        <f>C34</f>
        <v>3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3</v>
      </c>
      <c r="D35" s="28">
        <f>C35</f>
        <v>3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3</v>
      </c>
      <c r="D36" s="28">
        <f>C36</f>
        <v>3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44</v>
      </c>
      <c r="D39" s="28">
        <f t="shared" si="4"/>
        <v>44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0</v>
      </c>
      <c r="D40" s="28">
        <f t="shared" si="4"/>
        <v>0</v>
      </c>
      <c r="E40" s="98" t="str">
        <f t="shared" si="3"/>
        <v>-</v>
      </c>
      <c r="F40" s="99" t="str">
        <f t="shared" si="1"/>
        <v>-</v>
      </c>
    </row>
    <row r="41" spans="1:6" ht="28.5" customHeight="1">
      <c r="A41" s="35" t="s">
        <v>24</v>
      </c>
      <c r="B41" s="44" t="s">
        <v>25</v>
      </c>
      <c r="C41" s="28">
        <v>9966</v>
      </c>
      <c r="D41" s="28">
        <f t="shared" si="4"/>
        <v>9966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2014</v>
      </c>
      <c r="D42" s="28">
        <f>SUM(D43:D46)</f>
        <v>2014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1514</v>
      </c>
      <c r="D43" s="28">
        <f>C43</f>
        <v>1514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244</v>
      </c>
      <c r="D44" s="28">
        <f>C44</f>
        <v>244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256</v>
      </c>
      <c r="D46" s="28">
        <f>C46</f>
        <v>256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2345</v>
      </c>
      <c r="D48" s="28">
        <f t="shared" si="4"/>
        <v>2345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148</v>
      </c>
      <c r="D49" s="28">
        <f>C49</f>
        <v>148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241</v>
      </c>
      <c r="D50" s="28">
        <f>C50</f>
        <v>241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19405</v>
      </c>
      <c r="D51" s="31">
        <f>SUM(D52:D55)</f>
        <v>29467</v>
      </c>
      <c r="E51" s="11">
        <f t="shared" si="3"/>
        <v>10062</v>
      </c>
      <c r="F51" s="103">
        <f t="shared" si="1"/>
        <v>1.5185</v>
      </c>
    </row>
    <row r="52" spans="1:6" ht="47.25" customHeight="1">
      <c r="A52" s="35" t="s">
        <v>118</v>
      </c>
      <c r="B52" s="44" t="s">
        <v>143</v>
      </c>
      <c r="C52" s="86">
        <v>5</v>
      </c>
      <c r="D52" s="28">
        <f>C52-2</f>
        <v>3</v>
      </c>
      <c r="E52" s="79">
        <f>IF(C52=D52,"-",D52-C52)</f>
        <v>-2</v>
      </c>
      <c r="F52" s="99">
        <f t="shared" si="1"/>
        <v>0.6</v>
      </c>
    </row>
    <row r="53" spans="1:6" ht="31.5" customHeight="1">
      <c r="A53" s="35" t="s">
        <v>35</v>
      </c>
      <c r="B53" s="44" t="s">
        <v>63</v>
      </c>
      <c r="C53" s="86">
        <v>17900</v>
      </c>
      <c r="D53" s="28">
        <f>C53+10064</f>
        <v>27964</v>
      </c>
      <c r="E53" s="79">
        <f>IF(C53=D53,"-",D53-C53)</f>
        <v>10064</v>
      </c>
      <c r="F53" s="99">
        <f t="shared" si="1"/>
        <v>1.5622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1500</v>
      </c>
      <c r="D55" s="28">
        <f>C55</f>
        <v>1500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4194</v>
      </c>
      <c r="D56" s="31">
        <f>C56</f>
        <v>4194</v>
      </c>
      <c r="E56" s="11" t="str">
        <f>IF(C56=D56,"-",D56-C56)</f>
        <v>-</v>
      </c>
      <c r="F56" s="103">
        <f>IF(C56=0,"-",D56/C56)</f>
        <v>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84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2021503</v>
      </c>
      <c r="D7" s="14">
        <f>D8+D9+D10+D12+D13+D14+D15+D16+D17+D18+D19+D20+D21+D22+D24+D25+D26+D27</f>
        <v>2021503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271870</v>
      </c>
      <c r="D8" s="29">
        <f>C8</f>
        <v>271870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161064</v>
      </c>
      <c r="D9" s="29">
        <f aca="true" t="shared" si="2" ref="D9:D27">C9</f>
        <v>161064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930156</v>
      </c>
      <c r="D10" s="29">
        <f t="shared" si="2"/>
        <v>930156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48237</v>
      </c>
      <c r="D11" s="29">
        <f t="shared" si="2"/>
        <v>48237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74471</v>
      </c>
      <c r="D12" s="29">
        <f t="shared" si="2"/>
        <v>74471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60842</v>
      </c>
      <c r="D13" s="29">
        <f t="shared" si="2"/>
        <v>60842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26889</v>
      </c>
      <c r="D14" s="29">
        <f t="shared" si="2"/>
        <v>26889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13744</v>
      </c>
      <c r="D15" s="29">
        <f t="shared" si="2"/>
        <v>13744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77970</v>
      </c>
      <c r="D16" s="29">
        <f t="shared" si="2"/>
        <v>77970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14000</v>
      </c>
      <c r="D17" s="29">
        <f t="shared" si="2"/>
        <v>14000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2340</v>
      </c>
      <c r="D18" s="29">
        <f t="shared" si="2"/>
        <v>2340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6028</v>
      </c>
      <c r="D19" s="29">
        <f t="shared" si="2"/>
        <v>6028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51626</v>
      </c>
      <c r="D20" s="29">
        <f t="shared" si="2"/>
        <v>51626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23795</v>
      </c>
      <c r="D21" s="29">
        <f t="shared" si="2"/>
        <v>23795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291937</v>
      </c>
      <c r="D22" s="29">
        <f t="shared" si="2"/>
        <v>291937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600</v>
      </c>
      <c r="D23" s="29">
        <f t="shared" si="2"/>
        <v>600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14771</v>
      </c>
      <c r="D27" s="29">
        <f t="shared" si="2"/>
        <v>14771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89251</v>
      </c>
      <c r="D29" s="91">
        <f>C29</f>
        <v>89251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18987</v>
      </c>
      <c r="D30" s="27">
        <f>D31+D32+D33+D41+D42+D48+D49+D50+D47</f>
        <v>18987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731</v>
      </c>
      <c r="D31" s="28">
        <f>C31</f>
        <v>731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1750</v>
      </c>
      <c r="D32" s="28">
        <f>C32</f>
        <v>1750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83</v>
      </c>
      <c r="D33" s="28">
        <f>D34+D36+D37+D38+D39+D40</f>
        <v>83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28</v>
      </c>
      <c r="D34" s="28">
        <f>C34</f>
        <v>28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25</v>
      </c>
      <c r="D35" s="28">
        <f>C35</f>
        <v>25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52</v>
      </c>
      <c r="D39" s="28">
        <f t="shared" si="4"/>
        <v>52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3</v>
      </c>
      <c r="D40" s="28">
        <f t="shared" si="4"/>
        <v>3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10418</v>
      </c>
      <c r="D41" s="28">
        <f t="shared" si="4"/>
        <v>10418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2095</v>
      </c>
      <c r="D42" s="28">
        <f>SUM(D43:D46)</f>
        <v>2095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1582</v>
      </c>
      <c r="D43" s="28">
        <f>C43</f>
        <v>1582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255</v>
      </c>
      <c r="D44" s="28">
        <f>C44</f>
        <v>255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258</v>
      </c>
      <c r="D46" s="28">
        <f>C46</f>
        <v>258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3695</v>
      </c>
      <c r="D48" s="28">
        <f t="shared" si="4"/>
        <v>3695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80</v>
      </c>
      <c r="D49" s="28">
        <f>C49</f>
        <v>80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79">
        <v>135</v>
      </c>
      <c r="D50" s="28">
        <f>C50</f>
        <v>135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7028</v>
      </c>
      <c r="D51" s="31">
        <f>SUM(D52:D55)</f>
        <v>15791</v>
      </c>
      <c r="E51" s="11">
        <f t="shared" si="3"/>
        <v>8763</v>
      </c>
      <c r="F51" s="103">
        <f t="shared" si="1"/>
        <v>2.2469</v>
      </c>
    </row>
    <row r="52" spans="1:6" ht="47.25" customHeight="1">
      <c r="A52" s="35" t="s">
        <v>118</v>
      </c>
      <c r="B52" s="44" t="s">
        <v>143</v>
      </c>
      <c r="C52" s="79">
        <v>100</v>
      </c>
      <c r="D52" s="28">
        <f>C52-90</f>
        <v>10</v>
      </c>
      <c r="E52" s="79">
        <f>IF(C52=D52,"-",D52-C52)</f>
        <v>-90</v>
      </c>
      <c r="F52" s="99">
        <f t="shared" si="1"/>
        <v>0.1</v>
      </c>
    </row>
    <row r="53" spans="1:6" ht="31.5" customHeight="1">
      <c r="A53" s="35" t="s">
        <v>35</v>
      </c>
      <c r="B53" s="44" t="s">
        <v>63</v>
      </c>
      <c r="C53" s="79">
        <v>6828</v>
      </c>
      <c r="D53" s="28">
        <f>C53+7474</f>
        <v>14302</v>
      </c>
      <c r="E53" s="79">
        <f>IF(C53=D53,"-",D53-C53)</f>
        <v>7474</v>
      </c>
      <c r="F53" s="99">
        <f t="shared" si="1"/>
        <v>2.0946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100</v>
      </c>
      <c r="D55" s="28">
        <f>C55+1379</f>
        <v>1479</v>
      </c>
      <c r="E55" s="79">
        <f>IF(C55=D55,"-",D55-C55)</f>
        <v>1379</v>
      </c>
      <c r="F55" s="99">
        <f t="shared" si="1"/>
        <v>14.79</v>
      </c>
    </row>
    <row r="56" spans="1:6" ht="32.25" customHeight="1">
      <c r="A56" s="37" t="s">
        <v>126</v>
      </c>
      <c r="B56" s="49" t="s">
        <v>154</v>
      </c>
      <c r="C56" s="89">
        <v>3</v>
      </c>
      <c r="D56" s="31">
        <f>C56</f>
        <v>3</v>
      </c>
      <c r="E56" s="11" t="str">
        <f>IF(C56=D56,"-",D56-C56)</f>
        <v>-</v>
      </c>
      <c r="F56" s="103">
        <f>IF(C56=0,"-",D56/C56)</f>
        <v>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41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85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4985620</v>
      </c>
      <c r="D7" s="14">
        <f>D8+D9+D10+D12+D13+D14+D15+D16+D17+D18+D19+D20+D21+D22+D24+D25+D26+D27</f>
        <v>4985620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90">
        <v>677000</v>
      </c>
      <c r="D8" s="29">
        <f>C8</f>
        <v>677000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90">
        <v>381356</v>
      </c>
      <c r="D9" s="29">
        <f aca="true" t="shared" si="2" ref="D9:D27">C9</f>
        <v>381356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90">
        <v>2334172</v>
      </c>
      <c r="D10" s="29">
        <f t="shared" si="2"/>
        <v>2334172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90">
        <v>141062</v>
      </c>
      <c r="D11" s="29">
        <f t="shared" si="2"/>
        <v>141062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90">
        <v>167725</v>
      </c>
      <c r="D12" s="29">
        <f t="shared" si="2"/>
        <v>167725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90">
        <v>136418</v>
      </c>
      <c r="D13" s="29">
        <f t="shared" si="2"/>
        <v>136418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90">
        <v>60794</v>
      </c>
      <c r="D14" s="29">
        <f t="shared" si="2"/>
        <v>60794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90">
        <v>35919</v>
      </c>
      <c r="D15" s="29">
        <f t="shared" si="2"/>
        <v>35919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90">
        <v>150554</v>
      </c>
      <c r="D16" s="29">
        <f t="shared" si="2"/>
        <v>150554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90">
        <v>49000</v>
      </c>
      <c r="D17" s="29">
        <f t="shared" si="2"/>
        <v>49000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90">
        <v>2400</v>
      </c>
      <c r="D18" s="29">
        <f t="shared" si="2"/>
        <v>2400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90">
        <v>11007</v>
      </c>
      <c r="D19" s="29">
        <f t="shared" si="2"/>
        <v>11007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90">
        <v>130586</v>
      </c>
      <c r="D20" s="29">
        <f t="shared" si="2"/>
        <v>130586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90">
        <v>51000</v>
      </c>
      <c r="D21" s="29">
        <f t="shared" si="2"/>
        <v>51000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90">
        <v>734761</v>
      </c>
      <c r="D22" s="29">
        <f t="shared" si="2"/>
        <v>734761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90">
        <v>1000</v>
      </c>
      <c r="D23" s="29">
        <f t="shared" si="2"/>
        <v>1000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90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90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90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90">
        <v>62928</v>
      </c>
      <c r="D27" s="29">
        <f t="shared" si="2"/>
        <v>62928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3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140019</v>
      </c>
      <c r="D29" s="91">
        <f>C29</f>
        <v>140019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47126</v>
      </c>
      <c r="D30" s="27">
        <f>D31+D32+D33+D41+D42+D48+D49+D50+D47</f>
        <v>47126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90">
        <v>2122</v>
      </c>
      <c r="D31" s="28">
        <f>C31</f>
        <v>2122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90">
        <v>7372</v>
      </c>
      <c r="D32" s="28">
        <f>C32</f>
        <v>7372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334</v>
      </c>
      <c r="D33" s="28">
        <f>D34+D36+D37+D38+D39+D40</f>
        <v>334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90">
        <v>42</v>
      </c>
      <c r="D34" s="28">
        <f>C34</f>
        <v>42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90">
        <v>42</v>
      </c>
      <c r="D35" s="28">
        <f>C35</f>
        <v>42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90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90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90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90">
        <v>228</v>
      </c>
      <c r="D39" s="28">
        <f t="shared" si="4"/>
        <v>228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90">
        <v>64</v>
      </c>
      <c r="D40" s="28">
        <f t="shared" si="4"/>
        <v>64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21781</v>
      </c>
      <c r="D41" s="28">
        <f t="shared" si="4"/>
        <v>21781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4390</v>
      </c>
      <c r="D42" s="28">
        <f>SUM(D43:D46)</f>
        <v>4390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3309</v>
      </c>
      <c r="D43" s="28">
        <f>C43</f>
        <v>3309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534</v>
      </c>
      <c r="D44" s="28">
        <f>C44</f>
        <v>534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547</v>
      </c>
      <c r="D46" s="28">
        <f>C46</f>
        <v>547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90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90">
        <v>10644</v>
      </c>
      <c r="D48" s="28">
        <f t="shared" si="4"/>
        <v>10644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90">
        <v>0</v>
      </c>
      <c r="D49" s="28">
        <f>C49</f>
        <v>0</v>
      </c>
      <c r="E49" s="98" t="str">
        <f t="shared" si="3"/>
        <v>-</v>
      </c>
      <c r="F49" s="102" t="str">
        <f t="shared" si="1"/>
        <v>-</v>
      </c>
    </row>
    <row r="50" spans="1:6" ht="31.5" customHeight="1">
      <c r="A50" s="35" t="s">
        <v>32</v>
      </c>
      <c r="B50" s="44" t="s">
        <v>33</v>
      </c>
      <c r="C50" s="90">
        <v>483</v>
      </c>
      <c r="D50" s="28">
        <f>C50</f>
        <v>483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23817</v>
      </c>
      <c r="D51" s="31">
        <f>SUM(D52:D55)</f>
        <v>23817</v>
      </c>
      <c r="E51" s="11" t="str">
        <f t="shared" si="3"/>
        <v>-</v>
      </c>
      <c r="F51" s="103">
        <f t="shared" si="1"/>
        <v>1</v>
      </c>
    </row>
    <row r="52" spans="1:6" ht="47.25" customHeight="1">
      <c r="A52" s="35" t="s">
        <v>118</v>
      </c>
      <c r="B52" s="44" t="s">
        <v>143</v>
      </c>
      <c r="C52" s="90">
        <v>1235</v>
      </c>
      <c r="D52" s="28">
        <f>C52-1225</f>
        <v>10</v>
      </c>
      <c r="E52" s="79">
        <f>IF(C52=D52,"-",D52-C52)</f>
        <v>-1225</v>
      </c>
      <c r="F52" s="99">
        <f t="shared" si="1"/>
        <v>0.0081</v>
      </c>
    </row>
    <row r="53" spans="1:6" ht="31.5" customHeight="1">
      <c r="A53" s="35" t="s">
        <v>35</v>
      </c>
      <c r="B53" s="44" t="s">
        <v>63</v>
      </c>
      <c r="C53" s="90">
        <v>19137</v>
      </c>
      <c r="D53" s="28">
        <f>C53+1225</f>
        <v>20362</v>
      </c>
      <c r="E53" s="79">
        <f>IF(C53=D53,"-",D53-C53)</f>
        <v>1225</v>
      </c>
      <c r="F53" s="99">
        <f t="shared" si="1"/>
        <v>1.064</v>
      </c>
    </row>
    <row r="54" spans="1:6" ht="31.5" customHeight="1">
      <c r="A54" s="35" t="s">
        <v>36</v>
      </c>
      <c r="B54" s="44" t="s">
        <v>120</v>
      </c>
      <c r="C54" s="90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90">
        <v>3445</v>
      </c>
      <c r="D55" s="28">
        <f>C55</f>
        <v>3445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5380</v>
      </c>
      <c r="D56" s="31">
        <f>C56</f>
        <v>5380</v>
      </c>
      <c r="E56" s="11" t="str">
        <f>IF(C56=D56,"-",D56-C56)</f>
        <v>-</v>
      </c>
      <c r="F56" s="103">
        <f>IF(C56=0,"-",D56/C56)</f>
        <v>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86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2552670</v>
      </c>
      <c r="D7" s="14">
        <f>D8+D9+D10+D12+D13+D14+D15+D16+D17+D18+D19+D20+D21+D22+D24+D25+D26+D27</f>
        <v>2552670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333557</v>
      </c>
      <c r="D8" s="29">
        <f>C8</f>
        <v>333557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188708</v>
      </c>
      <c r="D9" s="29">
        <f aca="true" t="shared" si="2" ref="D9:D27">C9</f>
        <v>188708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1229148</v>
      </c>
      <c r="D10" s="29">
        <f t="shared" si="2"/>
        <v>1229148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68074</v>
      </c>
      <c r="D11" s="29">
        <f t="shared" si="2"/>
        <v>68074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86193</v>
      </c>
      <c r="D12" s="29">
        <f t="shared" si="2"/>
        <v>86193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68793</v>
      </c>
      <c r="D13" s="29">
        <f t="shared" si="2"/>
        <v>68793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34675</v>
      </c>
      <c r="D14" s="29">
        <f t="shared" si="2"/>
        <v>34675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9254</v>
      </c>
      <c r="D15" s="29">
        <f t="shared" si="2"/>
        <v>9254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86498</v>
      </c>
      <c r="D16" s="29">
        <f t="shared" si="2"/>
        <v>86498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19164</v>
      </c>
      <c r="D17" s="29">
        <f t="shared" si="2"/>
        <v>19164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1758</v>
      </c>
      <c r="D18" s="29">
        <f t="shared" si="2"/>
        <v>1758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8607</v>
      </c>
      <c r="D19" s="29">
        <f t="shared" si="2"/>
        <v>8607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65978</v>
      </c>
      <c r="D20" s="29">
        <f t="shared" si="2"/>
        <v>65978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28145</v>
      </c>
      <c r="D21" s="29">
        <f t="shared" si="2"/>
        <v>28145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389676</v>
      </c>
      <c r="D22" s="29">
        <f t="shared" si="2"/>
        <v>389676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739</v>
      </c>
      <c r="D23" s="29">
        <f t="shared" si="2"/>
        <v>739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2516</v>
      </c>
      <c r="D27" s="29">
        <f t="shared" si="2"/>
        <v>2516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97162</v>
      </c>
      <c r="D29" s="91">
        <f>C29</f>
        <v>97162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21890</v>
      </c>
      <c r="D30" s="27">
        <f>D31+D32+D33+D41+D42+D48+D49+D50+D47</f>
        <v>21890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849</v>
      </c>
      <c r="D31" s="28">
        <f>C31</f>
        <v>849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2143</v>
      </c>
      <c r="D32" s="28">
        <f>C32</f>
        <v>2143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213</v>
      </c>
      <c r="D33" s="28">
        <f>D34+D36+D37+D38+D39+D40</f>
        <v>213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25</v>
      </c>
      <c r="D34" s="28">
        <f>C34</f>
        <v>25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25</v>
      </c>
      <c r="D35" s="28">
        <f>C35</f>
        <v>25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6</v>
      </c>
      <c r="D36" s="28">
        <f>C36</f>
        <v>6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162</v>
      </c>
      <c r="D39" s="28">
        <f t="shared" si="4"/>
        <v>162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20</v>
      </c>
      <c r="D40" s="28">
        <f t="shared" si="4"/>
        <v>20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12137</v>
      </c>
      <c r="D41" s="28">
        <f t="shared" si="4"/>
        <v>12137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2453</v>
      </c>
      <c r="D42" s="28">
        <f>SUM(D43:D46)</f>
        <v>2453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1843</v>
      </c>
      <c r="D43" s="28">
        <f>C43</f>
        <v>1843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297</v>
      </c>
      <c r="D44" s="28">
        <f>C44</f>
        <v>297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313</v>
      </c>
      <c r="D46" s="28">
        <f>C46</f>
        <v>313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79">
        <v>3711</v>
      </c>
      <c r="D48" s="28">
        <f t="shared" si="4"/>
        <v>3711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79">
        <v>200</v>
      </c>
      <c r="D49" s="28">
        <f>C49</f>
        <v>200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79">
        <v>184</v>
      </c>
      <c r="D50" s="28">
        <f>C50</f>
        <v>184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3084</v>
      </c>
      <c r="D51" s="31">
        <f>SUM(D52:D55)</f>
        <v>465</v>
      </c>
      <c r="E51" s="11">
        <f t="shared" si="3"/>
        <v>-2619</v>
      </c>
      <c r="F51" s="103">
        <f t="shared" si="1"/>
        <v>0.1508</v>
      </c>
    </row>
    <row r="52" spans="1:6" ht="47.25" customHeight="1">
      <c r="A52" s="35" t="s">
        <v>118</v>
      </c>
      <c r="B52" s="44" t="s">
        <v>143</v>
      </c>
      <c r="C52" s="79">
        <v>25</v>
      </c>
      <c r="D52" s="28">
        <f>C52-10</f>
        <v>15</v>
      </c>
      <c r="E52" s="79">
        <f>IF(C52=D52,"-",D52-C52)</f>
        <v>-10</v>
      </c>
      <c r="F52" s="99">
        <f t="shared" si="1"/>
        <v>0.6</v>
      </c>
    </row>
    <row r="53" spans="1:6" ht="31.5" customHeight="1">
      <c r="A53" s="35" t="s">
        <v>35</v>
      </c>
      <c r="B53" s="44" t="s">
        <v>63</v>
      </c>
      <c r="C53" s="79">
        <v>3000</v>
      </c>
      <c r="D53" s="28">
        <f>C53-2633</f>
        <v>367</v>
      </c>
      <c r="E53" s="79">
        <f>IF(C53=D53,"-",D53-C53)</f>
        <v>-2633</v>
      </c>
      <c r="F53" s="99">
        <f t="shared" si="1"/>
        <v>0.1223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59</v>
      </c>
      <c r="D55" s="28">
        <f>C55+24</f>
        <v>83</v>
      </c>
      <c r="E55" s="79">
        <f>IF(C55=D55,"-",D55-C55)</f>
        <v>24</v>
      </c>
      <c r="F55" s="99">
        <f t="shared" si="1"/>
        <v>1.4068</v>
      </c>
    </row>
    <row r="56" spans="1:6" ht="32.25" customHeight="1">
      <c r="A56" s="37" t="s">
        <v>126</v>
      </c>
      <c r="B56" s="49" t="s">
        <v>154</v>
      </c>
      <c r="C56" s="31">
        <v>18</v>
      </c>
      <c r="D56" s="31">
        <f>C56+17</f>
        <v>35</v>
      </c>
      <c r="E56" s="11">
        <f>IF(C56=D56,"-",D56-C56)</f>
        <v>17</v>
      </c>
      <c r="F56" s="103">
        <f>IF(C56=0,"-",D56/C56)</f>
        <v>1.9444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I110"/>
  <sheetViews>
    <sheetView showGridLines="0" view="pageBreakPreview" zoomScale="55" zoomScaleNormal="70" zoomScaleSheetLayoutView="55" zoomScalePageLayoutView="0" workbookViewId="0" topLeftCell="A1">
      <pane xSplit="1" ySplit="7" topLeftCell="B3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192</v>
      </c>
      <c r="B2" s="164"/>
      <c r="C2" s="164"/>
    </row>
    <row r="3" spans="1:6" ht="30" customHeight="1">
      <c r="A3" s="1"/>
      <c r="B3" s="78"/>
      <c r="C3" s="96"/>
      <c r="D3" s="95"/>
      <c r="E3" s="95"/>
      <c r="F3" s="95" t="s">
        <v>193</v>
      </c>
    </row>
    <row r="4" spans="1:6" s="6" customFormat="1" ht="49.5" customHeight="1">
      <c r="A4" s="165" t="s">
        <v>158</v>
      </c>
      <c r="B4" s="165" t="s">
        <v>62</v>
      </c>
      <c r="C4" s="160" t="s">
        <v>201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1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420264</v>
      </c>
      <c r="D7" s="14">
        <f>D8+D9+D10+D12+D13+D14+D15+D16+D17+D18+D19+D20+D21+D22+D24+D25+D26+D27</f>
        <v>420264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39" t="s">
        <v>159</v>
      </c>
      <c r="C8" s="29">
        <v>0</v>
      </c>
      <c r="D8" s="29">
        <f>C8</f>
        <v>0</v>
      </c>
      <c r="E8" s="98" t="str">
        <f aca="true" t="shared" si="0" ref="E8:E29">IF(C8=D8,"-",D8-C8)</f>
        <v>-</v>
      </c>
      <c r="F8" s="99" t="str">
        <f aca="true" t="shared" si="1" ref="F8:F56">IF(C8=0,"-",D8/C8)</f>
        <v>-</v>
      </c>
    </row>
    <row r="9" spans="1:6" ht="31.5" customHeight="1">
      <c r="A9" s="33" t="s">
        <v>2</v>
      </c>
      <c r="B9" s="39" t="s">
        <v>160</v>
      </c>
      <c r="C9" s="29">
        <v>0</v>
      </c>
      <c r="D9" s="29">
        <f aca="true" t="shared" si="2" ref="D9:D29">C9</f>
        <v>0</v>
      </c>
      <c r="E9" s="98" t="str">
        <f t="shared" si="0"/>
        <v>-</v>
      </c>
      <c r="F9" s="99" t="str">
        <f t="shared" si="1"/>
        <v>-</v>
      </c>
    </row>
    <row r="10" spans="1:6" ht="31.5" customHeight="1">
      <c r="A10" s="33" t="s">
        <v>3</v>
      </c>
      <c r="B10" s="39" t="s">
        <v>157</v>
      </c>
      <c r="C10" s="29">
        <v>0</v>
      </c>
      <c r="D10" s="29">
        <f t="shared" si="2"/>
        <v>0</v>
      </c>
      <c r="E10" s="98" t="str">
        <f t="shared" si="0"/>
        <v>-</v>
      </c>
      <c r="F10" s="99" t="str">
        <f t="shared" si="1"/>
        <v>-</v>
      </c>
    </row>
    <row r="11" spans="1:6" ht="31.5" customHeight="1">
      <c r="A11" s="32" t="s">
        <v>64</v>
      </c>
      <c r="B11" s="38" t="s">
        <v>65</v>
      </c>
      <c r="C11" s="29">
        <v>0</v>
      </c>
      <c r="D11" s="29">
        <f t="shared" si="2"/>
        <v>0</v>
      </c>
      <c r="E11" s="98" t="str">
        <f t="shared" si="0"/>
        <v>-</v>
      </c>
      <c r="F11" s="99" t="str">
        <f t="shared" si="1"/>
        <v>-</v>
      </c>
    </row>
    <row r="12" spans="1:6" ht="31.5" customHeight="1">
      <c r="A12" s="33" t="s">
        <v>4</v>
      </c>
      <c r="B12" s="39" t="s">
        <v>166</v>
      </c>
      <c r="C12" s="29">
        <v>0</v>
      </c>
      <c r="D12" s="29">
        <f t="shared" si="2"/>
        <v>0</v>
      </c>
      <c r="E12" s="98" t="str">
        <f t="shared" si="0"/>
        <v>-</v>
      </c>
      <c r="F12" s="99" t="str">
        <f t="shared" si="1"/>
        <v>-</v>
      </c>
    </row>
    <row r="13" spans="1:6" ht="31.5" customHeight="1">
      <c r="A13" s="33" t="s">
        <v>5</v>
      </c>
      <c r="B13" s="39" t="s">
        <v>161</v>
      </c>
      <c r="C13" s="29">
        <v>0</v>
      </c>
      <c r="D13" s="29">
        <f t="shared" si="2"/>
        <v>0</v>
      </c>
      <c r="E13" s="98" t="str">
        <f t="shared" si="0"/>
        <v>-</v>
      </c>
      <c r="F13" s="99" t="str">
        <f t="shared" si="1"/>
        <v>-</v>
      </c>
    </row>
    <row r="14" spans="1:6" ht="31.5" customHeight="1">
      <c r="A14" s="33" t="s">
        <v>6</v>
      </c>
      <c r="B14" s="39" t="s">
        <v>170</v>
      </c>
      <c r="C14" s="29">
        <v>0</v>
      </c>
      <c r="D14" s="29">
        <f t="shared" si="2"/>
        <v>0</v>
      </c>
      <c r="E14" s="98" t="str">
        <f t="shared" si="0"/>
        <v>-</v>
      </c>
      <c r="F14" s="99" t="str">
        <f t="shared" si="1"/>
        <v>-</v>
      </c>
    </row>
    <row r="15" spans="1:6" ht="31.5" customHeight="1">
      <c r="A15" s="33" t="s">
        <v>7</v>
      </c>
      <c r="B15" s="39" t="s">
        <v>169</v>
      </c>
      <c r="C15" s="29">
        <v>0</v>
      </c>
      <c r="D15" s="29">
        <f t="shared" si="2"/>
        <v>0</v>
      </c>
      <c r="E15" s="98" t="str">
        <f>IF(C15=D15,"-",D15-C15)</f>
        <v>-</v>
      </c>
      <c r="F15" s="99" t="str">
        <f>IF(C15=0,"-",D15/C15)</f>
        <v>-</v>
      </c>
    </row>
    <row r="16" spans="1:6" ht="31.5" customHeight="1">
      <c r="A16" s="33" t="s">
        <v>8</v>
      </c>
      <c r="B16" s="39" t="s">
        <v>162</v>
      </c>
      <c r="C16" s="29">
        <v>0</v>
      </c>
      <c r="D16" s="29">
        <f t="shared" si="2"/>
        <v>0</v>
      </c>
      <c r="E16" s="98" t="str">
        <f t="shared" si="0"/>
        <v>-</v>
      </c>
      <c r="F16" s="99" t="str">
        <f t="shared" si="1"/>
        <v>-</v>
      </c>
    </row>
    <row r="17" spans="1:6" ht="31.5" customHeight="1">
      <c r="A17" s="33" t="s">
        <v>9</v>
      </c>
      <c r="B17" s="39" t="s">
        <v>163</v>
      </c>
      <c r="C17" s="29">
        <v>0</v>
      </c>
      <c r="D17" s="29">
        <f t="shared" si="2"/>
        <v>0</v>
      </c>
      <c r="E17" s="98" t="str">
        <f t="shared" si="0"/>
        <v>-</v>
      </c>
      <c r="F17" s="99" t="str">
        <f t="shared" si="1"/>
        <v>-</v>
      </c>
    </row>
    <row r="18" spans="1:6" ht="31.5" customHeight="1">
      <c r="A18" s="33" t="s">
        <v>10</v>
      </c>
      <c r="B18" s="39" t="s">
        <v>171</v>
      </c>
      <c r="C18" s="29">
        <v>0</v>
      </c>
      <c r="D18" s="29">
        <f t="shared" si="2"/>
        <v>0</v>
      </c>
      <c r="E18" s="98" t="str">
        <f t="shared" si="0"/>
        <v>-</v>
      </c>
      <c r="F18" s="99" t="str">
        <f t="shared" si="1"/>
        <v>-</v>
      </c>
    </row>
    <row r="19" spans="1:6" ht="46.5" customHeight="1">
      <c r="A19" s="33" t="s">
        <v>11</v>
      </c>
      <c r="B19" s="39" t="s">
        <v>164</v>
      </c>
      <c r="C19" s="29">
        <v>0</v>
      </c>
      <c r="D19" s="29">
        <f t="shared" si="2"/>
        <v>0</v>
      </c>
      <c r="E19" s="98" t="str">
        <f t="shared" si="0"/>
        <v>-</v>
      </c>
      <c r="F19" s="99" t="str">
        <f t="shared" si="1"/>
        <v>-</v>
      </c>
    </row>
    <row r="20" spans="1:6" ht="31.5" customHeight="1">
      <c r="A20" s="33" t="s">
        <v>12</v>
      </c>
      <c r="B20" s="39" t="s">
        <v>165</v>
      </c>
      <c r="C20" s="29">
        <v>0</v>
      </c>
      <c r="D20" s="29">
        <f t="shared" si="2"/>
        <v>0</v>
      </c>
      <c r="E20" s="98" t="str">
        <f t="shared" si="0"/>
        <v>-</v>
      </c>
      <c r="F20" s="99" t="str">
        <f t="shared" si="1"/>
        <v>-</v>
      </c>
    </row>
    <row r="21" spans="1:6" ht="31.5" customHeight="1">
      <c r="A21" s="33" t="s">
        <v>14</v>
      </c>
      <c r="B21" s="39" t="s">
        <v>13</v>
      </c>
      <c r="C21" s="29">
        <v>0</v>
      </c>
      <c r="D21" s="29">
        <f t="shared" si="2"/>
        <v>0</v>
      </c>
      <c r="E21" s="98" t="str">
        <f t="shared" si="0"/>
        <v>-</v>
      </c>
      <c r="F21" s="99" t="str">
        <f t="shared" si="1"/>
        <v>-</v>
      </c>
    </row>
    <row r="22" spans="1:6" ht="31.5" customHeight="1">
      <c r="A22" s="34" t="s">
        <v>15</v>
      </c>
      <c r="B22" s="80" t="s">
        <v>167</v>
      </c>
      <c r="C22" s="29">
        <v>0</v>
      </c>
      <c r="D22" s="29">
        <f t="shared" si="2"/>
        <v>0</v>
      </c>
      <c r="E22" s="98" t="str">
        <f t="shared" si="0"/>
        <v>-</v>
      </c>
      <c r="F22" s="99" t="str">
        <f t="shared" si="1"/>
        <v>-</v>
      </c>
    </row>
    <row r="23" spans="1:6" ht="31.5" customHeight="1">
      <c r="A23" s="32" t="s">
        <v>172</v>
      </c>
      <c r="B23" s="38" t="s">
        <v>66</v>
      </c>
      <c r="C23" s="29">
        <v>0</v>
      </c>
      <c r="D23" s="29">
        <f t="shared" si="2"/>
        <v>0</v>
      </c>
      <c r="E23" s="98" t="str">
        <f t="shared" si="0"/>
        <v>-</v>
      </c>
      <c r="F23" s="99" t="str">
        <f t="shared" si="1"/>
        <v>-</v>
      </c>
    </row>
    <row r="24" spans="1:9" ht="33" customHeight="1">
      <c r="A24" s="35" t="s">
        <v>16</v>
      </c>
      <c r="B24" s="40" t="s">
        <v>139</v>
      </c>
      <c r="C24" s="29">
        <v>420264</v>
      </c>
      <c r="D24" s="29">
        <f t="shared" si="2"/>
        <v>420264</v>
      </c>
      <c r="E24" s="98" t="str">
        <f>IF(C24=D24,"-",D24-C24)</f>
        <v>-</v>
      </c>
      <c r="F24" s="99">
        <f>IF(C24=0,"-",D24/C24)</f>
        <v>1</v>
      </c>
      <c r="I24" s="131"/>
    </row>
    <row r="25" spans="1:6" ht="33" customHeight="1">
      <c r="A25" s="35" t="s">
        <v>136</v>
      </c>
      <c r="B25" s="41" t="s">
        <v>60</v>
      </c>
      <c r="C25" s="29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3" customHeight="1">
      <c r="A26" s="35" t="s">
        <v>137</v>
      </c>
      <c r="B26" s="41" t="s">
        <v>140</v>
      </c>
      <c r="C26" s="29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3" customHeight="1">
      <c r="A27" s="35" t="s">
        <v>138</v>
      </c>
      <c r="B27" s="41" t="s">
        <v>141</v>
      </c>
      <c r="C27" s="29">
        <v>0</v>
      </c>
      <c r="D27" s="29">
        <f t="shared" si="2"/>
        <v>0</v>
      </c>
      <c r="E27" s="98" t="str">
        <f>IF(C27=D27,"-",D27-C27)</f>
        <v>-</v>
      </c>
      <c r="F27" s="99" t="str">
        <f>IF(C27=0,"-",D27/C27)</f>
        <v>-</v>
      </c>
    </row>
    <row r="28" spans="1:6" s="5" customFormat="1" ht="31.5" customHeight="1">
      <c r="A28" s="36" t="s">
        <v>68</v>
      </c>
      <c r="B28" s="42" t="s">
        <v>69</v>
      </c>
      <c r="C28" s="91">
        <v>0</v>
      </c>
      <c r="D28" s="29">
        <f t="shared" si="2"/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4">
        <v>0</v>
      </c>
      <c r="D29" s="29">
        <f t="shared" si="2"/>
        <v>0</v>
      </c>
      <c r="E29" s="13" t="str">
        <f t="shared" si="0"/>
        <v>-</v>
      </c>
      <c r="F29" s="100" t="str">
        <f t="shared" si="1"/>
        <v>-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169668</v>
      </c>
      <c r="D30" s="27">
        <f>D31+D32+D33+D41+D42+D48+D49+D50+D47</f>
        <v>169796</v>
      </c>
      <c r="E30" s="11">
        <f>IF(C30=D30,"-",D30-C30)</f>
        <v>128</v>
      </c>
      <c r="F30" s="101">
        <f t="shared" si="1"/>
        <v>1.0008</v>
      </c>
    </row>
    <row r="31" spans="1:6" ht="28.5" customHeight="1">
      <c r="A31" s="35" t="s">
        <v>19</v>
      </c>
      <c r="B31" s="44" t="s">
        <v>20</v>
      </c>
      <c r="C31" s="28">
        <v>3470</v>
      </c>
      <c r="D31" s="28">
        <f>C31+11</f>
        <v>3481</v>
      </c>
      <c r="E31" s="98">
        <f aca="true" t="shared" si="3" ref="E31:E51">IF(C31=D31,"-",D31-C31)</f>
        <v>11</v>
      </c>
      <c r="F31" s="99">
        <f t="shared" si="1"/>
        <v>1.0032</v>
      </c>
    </row>
    <row r="32" spans="1:6" ht="28.5" customHeight="1">
      <c r="A32" s="35" t="s">
        <v>21</v>
      </c>
      <c r="B32" s="44" t="s">
        <v>22</v>
      </c>
      <c r="C32" s="28">
        <v>79572</v>
      </c>
      <c r="D32" s="28">
        <f>C32+2</f>
        <v>79574</v>
      </c>
      <c r="E32" s="98">
        <f t="shared" si="3"/>
        <v>2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512</v>
      </c>
      <c r="D33" s="28">
        <f>D34+D36+D37+D38+D39+D40</f>
        <v>512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28">
        <v>36</v>
      </c>
      <c r="D34" s="28">
        <f aca="true" t="shared" si="4" ref="D34:D49">C34</f>
        <v>36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28">
        <v>36</v>
      </c>
      <c r="D35" s="28">
        <f t="shared" si="4"/>
        <v>36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28">
        <v>27</v>
      </c>
      <c r="D36" s="28">
        <f t="shared" si="4"/>
        <v>27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28">
        <v>30</v>
      </c>
      <c r="D37" s="28">
        <f>C37</f>
        <v>30</v>
      </c>
      <c r="E37" s="98" t="str">
        <f t="shared" si="3"/>
        <v>-</v>
      </c>
      <c r="F37" s="99">
        <f t="shared" si="1"/>
        <v>1</v>
      </c>
    </row>
    <row r="38" spans="1:6" ht="28.5" customHeight="1">
      <c r="A38" s="46" t="s">
        <v>49</v>
      </c>
      <c r="B38" s="47" t="s">
        <v>42</v>
      </c>
      <c r="C38" s="28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28">
        <v>316</v>
      </c>
      <c r="D39" s="28">
        <f t="shared" si="4"/>
        <v>316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28">
        <v>103</v>
      </c>
      <c r="D40" s="28">
        <f>C40</f>
        <v>103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30992</v>
      </c>
      <c r="D41" s="28">
        <f>C41+84</f>
        <v>31076</v>
      </c>
      <c r="E41" s="98">
        <f t="shared" si="3"/>
        <v>84</v>
      </c>
      <c r="F41" s="99">
        <f t="shared" si="1"/>
        <v>1.0027</v>
      </c>
    </row>
    <row r="42" spans="1:6" ht="28.5" customHeight="1">
      <c r="A42" s="35" t="s">
        <v>26</v>
      </c>
      <c r="B42" s="45" t="s">
        <v>61</v>
      </c>
      <c r="C42" s="82">
        <f>C43+C44+C45+C46</f>
        <v>7292</v>
      </c>
      <c r="D42" s="82">
        <f>D43+D44+D45+D46</f>
        <v>7307</v>
      </c>
      <c r="E42" s="98">
        <f t="shared" si="3"/>
        <v>15</v>
      </c>
      <c r="F42" s="99">
        <f t="shared" si="1"/>
        <v>1.0021</v>
      </c>
    </row>
    <row r="43" spans="1:6" ht="28.5" customHeight="1">
      <c r="A43" s="46" t="s">
        <v>56</v>
      </c>
      <c r="B43" s="47" t="s">
        <v>52</v>
      </c>
      <c r="C43" s="28">
        <v>4710</v>
      </c>
      <c r="D43" s="28">
        <f>C43+13</f>
        <v>4723</v>
      </c>
      <c r="E43" s="98">
        <f t="shared" si="3"/>
        <v>13</v>
      </c>
      <c r="F43" s="99">
        <f t="shared" si="1"/>
        <v>1.0028</v>
      </c>
    </row>
    <row r="44" spans="1:6" ht="28.5" customHeight="1">
      <c r="A44" s="46" t="s">
        <v>57</v>
      </c>
      <c r="B44" s="47" t="s">
        <v>53</v>
      </c>
      <c r="C44" s="28">
        <v>759</v>
      </c>
      <c r="D44" s="28">
        <f>C44+2</f>
        <v>761</v>
      </c>
      <c r="E44" s="98">
        <f t="shared" si="3"/>
        <v>2</v>
      </c>
      <c r="F44" s="99">
        <f t="shared" si="1"/>
        <v>1.0026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1823</v>
      </c>
      <c r="D46" s="28">
        <f t="shared" si="4"/>
        <v>1823</v>
      </c>
      <c r="E46" s="98" t="str">
        <f t="shared" si="3"/>
        <v>-</v>
      </c>
      <c r="F46" s="99">
        <f t="shared" si="1"/>
        <v>1</v>
      </c>
    </row>
    <row r="47" spans="1:6" ht="28.5" customHeight="1">
      <c r="A47" s="35" t="s">
        <v>27</v>
      </c>
      <c r="B47" s="44" t="s">
        <v>28</v>
      </c>
      <c r="C47" s="28">
        <v>200</v>
      </c>
      <c r="D47" s="28">
        <f t="shared" si="4"/>
        <v>200</v>
      </c>
      <c r="E47" s="98" t="str">
        <f t="shared" si="3"/>
        <v>-</v>
      </c>
      <c r="F47" s="99">
        <f t="shared" si="1"/>
        <v>1</v>
      </c>
    </row>
    <row r="48" spans="1:6" ht="47.25" customHeight="1">
      <c r="A48" s="35" t="s">
        <v>29</v>
      </c>
      <c r="B48" s="44" t="s">
        <v>114</v>
      </c>
      <c r="C48" s="28">
        <v>45843</v>
      </c>
      <c r="D48" s="28">
        <f t="shared" si="4"/>
        <v>45843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28">
        <v>459</v>
      </c>
      <c r="D49" s="28">
        <f t="shared" si="4"/>
        <v>459</v>
      </c>
      <c r="E49" s="98" t="str">
        <f t="shared" si="3"/>
        <v>-</v>
      </c>
      <c r="F49" s="102">
        <f t="shared" si="1"/>
        <v>1</v>
      </c>
    </row>
    <row r="50" spans="1:6" ht="35.25" customHeight="1">
      <c r="A50" s="35" t="s">
        <v>32</v>
      </c>
      <c r="B50" s="44" t="s">
        <v>33</v>
      </c>
      <c r="C50" s="28">
        <v>1328</v>
      </c>
      <c r="D50" s="28">
        <f>C50+16</f>
        <v>1344</v>
      </c>
      <c r="E50" s="98">
        <f t="shared" si="3"/>
        <v>16</v>
      </c>
      <c r="F50" s="99">
        <f t="shared" si="1"/>
        <v>1.012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20440</v>
      </c>
      <c r="D51" s="31">
        <f>SUM(D52:D55)</f>
        <v>21640</v>
      </c>
      <c r="E51" s="11">
        <f t="shared" si="3"/>
        <v>1200</v>
      </c>
      <c r="F51" s="104">
        <f t="shared" si="1"/>
        <v>1.0587</v>
      </c>
    </row>
    <row r="52" spans="1:6" ht="47.25" customHeight="1">
      <c r="A52" s="35" t="s">
        <v>118</v>
      </c>
      <c r="B52" s="44" t="s">
        <v>143</v>
      </c>
      <c r="C52" s="28">
        <v>20162</v>
      </c>
      <c r="D52" s="28">
        <f>C52</f>
        <v>20162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28">
        <v>0</v>
      </c>
      <c r="D53" s="28">
        <f>C53+1200</f>
        <v>1200</v>
      </c>
      <c r="E53" s="79">
        <f>IF(C53=D53,"-",D53-C53)</f>
        <v>1200</v>
      </c>
      <c r="F53" s="99" t="str">
        <f t="shared" si="1"/>
        <v>-</v>
      </c>
    </row>
    <row r="54" spans="1:6" ht="31.5" customHeight="1">
      <c r="A54" s="35" t="s">
        <v>36</v>
      </c>
      <c r="B54" s="44" t="s">
        <v>120</v>
      </c>
      <c r="C54" s="28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28">
        <v>278</v>
      </c>
      <c r="D55" s="28">
        <f>C55</f>
        <v>278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30819</v>
      </c>
      <c r="D56" s="31">
        <f>C56</f>
        <v>30819</v>
      </c>
      <c r="E56" s="11" t="str">
        <f>IF(C56=D56,"-",D56-C56)</f>
        <v>-</v>
      </c>
      <c r="F56" s="103">
        <f t="shared" si="1"/>
        <v>1</v>
      </c>
    </row>
    <row r="74" ht="12.75">
      <c r="D74" s="2" t="s">
        <v>200</v>
      </c>
    </row>
    <row r="110" ht="12.75">
      <c r="B110" s="2" t="s">
        <v>222</v>
      </c>
    </row>
  </sheetData>
  <sheetProtection/>
  <mergeCells count="8">
    <mergeCell ref="E4:E5"/>
    <mergeCell ref="F4:F5"/>
    <mergeCell ref="A1:F1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>
    <tabColor rgb="FFFF0000"/>
  </sheetPr>
  <dimension ref="A1:Z178"/>
  <sheetViews>
    <sheetView showGridLines="0" view="pageBreakPreview" zoomScale="60" zoomScaleNormal="60" zoomScalePageLayoutView="55" workbookViewId="0" topLeftCell="A1">
      <selection activeCell="C56" sqref="C56"/>
    </sheetView>
  </sheetViews>
  <sheetFormatPr defaultColWidth="9.00390625" defaultRowHeight="12.75"/>
  <cols>
    <col min="1" max="1" width="8.875" style="2" bestFit="1" customWidth="1"/>
    <col min="2" max="2" width="87.00390625" style="2" customWidth="1"/>
    <col min="3" max="3" width="16.00390625" style="2" customWidth="1"/>
    <col min="4" max="4" width="13.75390625" style="120" customWidth="1"/>
    <col min="5" max="5" width="14.00390625" style="120" customWidth="1"/>
    <col min="6" max="7" width="10.875" style="2" customWidth="1"/>
    <col min="8" max="11" width="10.875" style="142" customWidth="1"/>
    <col min="12" max="21" width="10.875" style="2" customWidth="1"/>
    <col min="22" max="16384" width="9.125" style="2" customWidth="1"/>
  </cols>
  <sheetData>
    <row r="1" spans="1:11" s="52" customFormat="1" ht="30" customHeight="1">
      <c r="A1" s="122"/>
      <c r="B1" s="122"/>
      <c r="C1" s="122"/>
      <c r="D1" s="122"/>
      <c r="E1" s="122"/>
      <c r="H1" s="140"/>
      <c r="I1" s="140"/>
      <c r="J1" s="140"/>
      <c r="K1" s="140"/>
    </row>
    <row r="2" spans="1:11" s="53" customFormat="1" ht="30" customHeight="1">
      <c r="A2" s="154" t="str">
        <f>Zachodniopomorski!A1</f>
        <v>Zmiana planu finansowego Narodowego Funduszu Zdrowia na 2011 r. z dnia 29 grudnia 2011 r.</v>
      </c>
      <c r="B2" s="154"/>
      <c r="C2" s="154"/>
      <c r="D2" s="154"/>
      <c r="E2" s="154"/>
      <c r="F2" s="154"/>
      <c r="H2" s="141"/>
      <c r="I2" s="141"/>
      <c r="J2" s="141"/>
      <c r="K2" s="141"/>
    </row>
    <row r="3" spans="1:4" ht="30" customHeight="1">
      <c r="A3" s="1"/>
      <c r="B3" s="78"/>
      <c r="C3" s="78"/>
      <c r="D3" s="95"/>
    </row>
    <row r="4" spans="1:26" s="114" customFormat="1" ht="144.75">
      <c r="A4" s="112" t="s">
        <v>158</v>
      </c>
      <c r="B4" s="112" t="s">
        <v>62</v>
      </c>
      <c r="C4" s="113" t="s">
        <v>223</v>
      </c>
      <c r="D4" s="113" t="s">
        <v>207</v>
      </c>
      <c r="E4" s="113" t="s">
        <v>204</v>
      </c>
      <c r="F4" s="113" t="s">
        <v>208</v>
      </c>
      <c r="G4" s="113" t="s">
        <v>209</v>
      </c>
      <c r="H4" s="146" t="s">
        <v>210</v>
      </c>
      <c r="I4" s="113" t="s">
        <v>205</v>
      </c>
      <c r="J4" s="113" t="s">
        <v>211</v>
      </c>
      <c r="K4" s="113" t="s">
        <v>212</v>
      </c>
      <c r="L4" s="113" t="s">
        <v>213</v>
      </c>
      <c r="M4" s="113" t="s">
        <v>214</v>
      </c>
      <c r="N4" s="113" t="s">
        <v>215</v>
      </c>
      <c r="O4" s="113" t="s">
        <v>216</v>
      </c>
      <c r="P4" s="113" t="s">
        <v>217</v>
      </c>
      <c r="Q4" s="113" t="s">
        <v>218</v>
      </c>
      <c r="R4" s="113" t="s">
        <v>219</v>
      </c>
      <c r="S4" s="113" t="s">
        <v>220</v>
      </c>
      <c r="T4" s="113" t="s">
        <v>206</v>
      </c>
      <c r="U4" s="113" t="s">
        <v>221</v>
      </c>
      <c r="W4" s="143"/>
      <c r="X4" s="143"/>
      <c r="Y4" s="143"/>
      <c r="Z4" s="143"/>
    </row>
    <row r="5" spans="1:26" s="116" customFormat="1" ht="14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W5" s="143"/>
      <c r="X5" s="143"/>
      <c r="Y5" s="143"/>
      <c r="Z5" s="143"/>
    </row>
    <row r="6" spans="1:26" s="3" customFormat="1" ht="33.75" customHeight="1" hidden="1">
      <c r="A6" s="26" t="s">
        <v>0</v>
      </c>
      <c r="B6" s="43" t="s">
        <v>142</v>
      </c>
      <c r="C6" s="43"/>
      <c r="D6" s="117" t="str">
        <f>CENTRALA!E7</f>
        <v>-</v>
      </c>
      <c r="E6" s="117">
        <f>E7+E8+E9+E11+E12+E13+E14+E15+E16+E17+E18+E19+E20+E21+E23+E24+E25+E26</f>
        <v>0</v>
      </c>
      <c r="F6" s="117" t="str">
        <f>Dolnośląski!E7</f>
        <v>-</v>
      </c>
      <c r="G6" s="117" t="str">
        <f>KujawskoPomorski!E7</f>
        <v>-</v>
      </c>
      <c r="H6" s="117" t="str">
        <f>Lubelski!E7</f>
        <v>-</v>
      </c>
      <c r="I6" s="117" t="str">
        <f>Lubuski!E7</f>
        <v>-</v>
      </c>
      <c r="J6" s="117" t="str">
        <f>Łódzki!E7</f>
        <v>-</v>
      </c>
      <c r="K6" s="117" t="str">
        <f>Małopolski!E7</f>
        <v>-</v>
      </c>
      <c r="L6" s="117" t="str">
        <f>Mazowiecki!E7</f>
        <v>-</v>
      </c>
      <c r="M6" s="117" t="str">
        <f>Opolski!E7</f>
        <v>-</v>
      </c>
      <c r="N6" s="117" t="str">
        <f>Podkarpacki!E7</f>
        <v>-</v>
      </c>
      <c r="O6" s="117" t="str">
        <f>Podlaski!E7</f>
        <v>-</v>
      </c>
      <c r="P6" s="117" t="str">
        <f>Pomorski!E7</f>
        <v>-</v>
      </c>
      <c r="Q6" s="117" t="str">
        <f>Śląski!E7</f>
        <v>-</v>
      </c>
      <c r="R6" s="117" t="str">
        <f>Świętokrzyski!E7</f>
        <v>-</v>
      </c>
      <c r="S6" s="117" t="str">
        <f>WarmińskoMazurski!E7</f>
        <v>-</v>
      </c>
      <c r="T6" s="117" t="str">
        <f>Wielkopolski!E7</f>
        <v>-</v>
      </c>
      <c r="U6" s="117" t="str">
        <f>Zachodniopomorski!E7</f>
        <v>-</v>
      </c>
      <c r="W6" s="144"/>
      <c r="X6" s="144"/>
      <c r="Y6" s="144"/>
      <c r="Z6" s="144"/>
    </row>
    <row r="7" spans="1:26" ht="28.5" customHeight="1" hidden="1">
      <c r="A7" s="33" t="s">
        <v>1</v>
      </c>
      <c r="B7" s="80" t="s">
        <v>159</v>
      </c>
      <c r="C7" s="80"/>
      <c r="D7" s="147" t="str">
        <f>CENTRALA!E8</f>
        <v>-</v>
      </c>
      <c r="E7" s="118">
        <f>SUM(F7:U7)</f>
        <v>0</v>
      </c>
      <c r="F7" s="147" t="str">
        <f>Dolnośląski!E8</f>
        <v>-</v>
      </c>
      <c r="G7" s="147" t="str">
        <f>KujawskoPomorski!E8</f>
        <v>-</v>
      </c>
      <c r="H7" s="147" t="str">
        <f>Lubelski!E8</f>
        <v>-</v>
      </c>
      <c r="I7" s="147" t="str">
        <f>Lubuski!E8</f>
        <v>-</v>
      </c>
      <c r="J7" s="147" t="str">
        <f>Łódzki!E8</f>
        <v>-</v>
      </c>
      <c r="K7" s="147" t="str">
        <f>Małopolski!E8</f>
        <v>-</v>
      </c>
      <c r="L7" s="147" t="str">
        <f>Mazowiecki!E8</f>
        <v>-</v>
      </c>
      <c r="M7" s="147" t="str">
        <f>Opolski!E8</f>
        <v>-</v>
      </c>
      <c r="N7" s="147" t="str">
        <f>Podkarpacki!E8</f>
        <v>-</v>
      </c>
      <c r="O7" s="147" t="str">
        <f>Podlaski!E8</f>
        <v>-</v>
      </c>
      <c r="P7" s="147" t="str">
        <f>Pomorski!E8</f>
        <v>-</v>
      </c>
      <c r="Q7" s="147" t="str">
        <f>Śląski!E8</f>
        <v>-</v>
      </c>
      <c r="R7" s="147" t="str">
        <f>Świętokrzyski!E8</f>
        <v>-</v>
      </c>
      <c r="S7" s="147" t="str">
        <f>WarmińskoMazurski!E8</f>
        <v>-</v>
      </c>
      <c r="T7" s="147" t="str">
        <f>Wielkopolski!E8</f>
        <v>-</v>
      </c>
      <c r="U7" s="147" t="str">
        <f>Zachodniopomorski!E8</f>
        <v>-</v>
      </c>
      <c r="W7" s="142"/>
      <c r="X7" s="142"/>
      <c r="Y7" s="142"/>
      <c r="Z7" s="142"/>
    </row>
    <row r="8" spans="1:26" ht="28.5" customHeight="1" hidden="1">
      <c r="A8" s="33" t="s">
        <v>2</v>
      </c>
      <c r="B8" s="80" t="s">
        <v>160</v>
      </c>
      <c r="C8" s="80"/>
      <c r="D8" s="147" t="str">
        <f>CENTRALA!E9</f>
        <v>-</v>
      </c>
      <c r="E8" s="118">
        <f aca="true" t="shared" si="0" ref="E8:E53">SUM(F8:U8)</f>
        <v>0</v>
      </c>
      <c r="F8" s="147" t="str">
        <f>Dolnośląski!E9</f>
        <v>-</v>
      </c>
      <c r="G8" s="147" t="str">
        <f>KujawskoPomorski!E9</f>
        <v>-</v>
      </c>
      <c r="H8" s="147" t="str">
        <f>Lubelski!E9</f>
        <v>-</v>
      </c>
      <c r="I8" s="147" t="str">
        <f>Lubuski!E9</f>
        <v>-</v>
      </c>
      <c r="J8" s="147" t="str">
        <f>Łódzki!E9</f>
        <v>-</v>
      </c>
      <c r="K8" s="147" t="str">
        <f>Małopolski!E9</f>
        <v>-</v>
      </c>
      <c r="L8" s="147" t="str">
        <f>Mazowiecki!E9</f>
        <v>-</v>
      </c>
      <c r="M8" s="147" t="str">
        <f>Opolski!E9</f>
        <v>-</v>
      </c>
      <c r="N8" s="147" t="str">
        <f>Podkarpacki!E9</f>
        <v>-</v>
      </c>
      <c r="O8" s="147" t="str">
        <f>Podlaski!E9</f>
        <v>-</v>
      </c>
      <c r="P8" s="147" t="str">
        <f>Pomorski!E9</f>
        <v>-</v>
      </c>
      <c r="Q8" s="147" t="str">
        <f>Śląski!E9</f>
        <v>-</v>
      </c>
      <c r="R8" s="147" t="str">
        <f>Świętokrzyski!E9</f>
        <v>-</v>
      </c>
      <c r="S8" s="147" t="str">
        <f>WarmińskoMazurski!E9</f>
        <v>-</v>
      </c>
      <c r="T8" s="147" t="str">
        <f>Wielkopolski!E9</f>
        <v>-</v>
      </c>
      <c r="U8" s="147" t="str">
        <f>Zachodniopomorski!E9</f>
        <v>-</v>
      </c>
      <c r="W8" s="142"/>
      <c r="X8" s="142"/>
      <c r="Y8" s="142"/>
      <c r="Z8" s="142"/>
    </row>
    <row r="9" spans="1:26" ht="28.5" customHeight="1" hidden="1">
      <c r="A9" s="33" t="s">
        <v>3</v>
      </c>
      <c r="B9" s="80" t="s">
        <v>157</v>
      </c>
      <c r="C9" s="80"/>
      <c r="D9" s="147" t="str">
        <f>CENTRALA!E10</f>
        <v>-</v>
      </c>
      <c r="E9" s="118">
        <f t="shared" si="0"/>
        <v>0</v>
      </c>
      <c r="F9" s="147" t="str">
        <f>Dolnośląski!E10</f>
        <v>-</v>
      </c>
      <c r="G9" s="147" t="str">
        <f>KujawskoPomorski!E10</f>
        <v>-</v>
      </c>
      <c r="H9" s="147" t="str">
        <f>Lubelski!E10</f>
        <v>-</v>
      </c>
      <c r="I9" s="147" t="str">
        <f>Lubuski!E10</f>
        <v>-</v>
      </c>
      <c r="J9" s="147" t="str">
        <f>Łódzki!E10</f>
        <v>-</v>
      </c>
      <c r="K9" s="147" t="str">
        <f>Małopolski!E10</f>
        <v>-</v>
      </c>
      <c r="L9" s="147" t="str">
        <f>Mazowiecki!E10</f>
        <v>-</v>
      </c>
      <c r="M9" s="147" t="str">
        <f>Opolski!E10</f>
        <v>-</v>
      </c>
      <c r="N9" s="147" t="str">
        <f>Podkarpacki!E10</f>
        <v>-</v>
      </c>
      <c r="O9" s="147" t="str">
        <f>Podlaski!E10</f>
        <v>-</v>
      </c>
      <c r="P9" s="147" t="str">
        <f>Pomorski!E10</f>
        <v>-</v>
      </c>
      <c r="Q9" s="147" t="str">
        <f>Śląski!E10</f>
        <v>-</v>
      </c>
      <c r="R9" s="147" t="str">
        <f>Świętokrzyski!E10</f>
        <v>-</v>
      </c>
      <c r="S9" s="147" t="str">
        <f>WarmińskoMazurski!E10</f>
        <v>-</v>
      </c>
      <c r="T9" s="147" t="str">
        <f>Wielkopolski!E10</f>
        <v>-</v>
      </c>
      <c r="U9" s="147" t="str">
        <f>Zachodniopomorski!E10</f>
        <v>-</v>
      </c>
      <c r="W9" s="142"/>
      <c r="X9" s="142"/>
      <c r="Y9" s="142"/>
      <c r="Z9" s="142"/>
    </row>
    <row r="10" spans="1:26" ht="28.5" customHeight="1" hidden="1">
      <c r="A10" s="81" t="s">
        <v>64</v>
      </c>
      <c r="B10" s="38" t="s">
        <v>65</v>
      </c>
      <c r="C10" s="38"/>
      <c r="D10" s="147" t="str">
        <f>CENTRALA!E11</f>
        <v>-</v>
      </c>
      <c r="E10" s="118">
        <f t="shared" si="0"/>
        <v>0</v>
      </c>
      <c r="F10" s="147" t="str">
        <f>Dolnośląski!E11</f>
        <v>-</v>
      </c>
      <c r="G10" s="147" t="str">
        <f>KujawskoPomorski!E11</f>
        <v>-</v>
      </c>
      <c r="H10" s="147" t="str">
        <f>Lubelski!E11</f>
        <v>-</v>
      </c>
      <c r="I10" s="147" t="str">
        <f>Lubuski!E11</f>
        <v>-</v>
      </c>
      <c r="J10" s="147" t="str">
        <f>Łódzki!E11</f>
        <v>-</v>
      </c>
      <c r="K10" s="147" t="str">
        <f>Małopolski!E11</f>
        <v>-</v>
      </c>
      <c r="L10" s="147" t="str">
        <f>Mazowiecki!E11</f>
        <v>-</v>
      </c>
      <c r="M10" s="147" t="str">
        <f>Opolski!E11</f>
        <v>-</v>
      </c>
      <c r="N10" s="147" t="str">
        <f>Podkarpacki!E11</f>
        <v>-</v>
      </c>
      <c r="O10" s="147" t="str">
        <f>Podlaski!E11</f>
        <v>-</v>
      </c>
      <c r="P10" s="147" t="str">
        <f>Pomorski!E11</f>
        <v>-</v>
      </c>
      <c r="Q10" s="147" t="str">
        <f>Śląski!E11</f>
        <v>-</v>
      </c>
      <c r="R10" s="147" t="str">
        <f>Świętokrzyski!E11</f>
        <v>-</v>
      </c>
      <c r="S10" s="147" t="str">
        <f>WarmińskoMazurski!E11</f>
        <v>-</v>
      </c>
      <c r="T10" s="147" t="str">
        <f>Wielkopolski!E11</f>
        <v>-</v>
      </c>
      <c r="U10" s="147" t="str">
        <f>Zachodniopomorski!E11</f>
        <v>-</v>
      </c>
      <c r="W10" s="142"/>
      <c r="X10" s="142"/>
      <c r="Y10" s="142"/>
      <c r="Z10" s="142"/>
    </row>
    <row r="11" spans="1:26" ht="28.5" customHeight="1" hidden="1">
      <c r="A11" s="33" t="s">
        <v>4</v>
      </c>
      <c r="B11" s="80" t="s">
        <v>166</v>
      </c>
      <c r="C11" s="80"/>
      <c r="D11" s="147" t="str">
        <f>CENTRALA!E12</f>
        <v>-</v>
      </c>
      <c r="E11" s="118">
        <f t="shared" si="0"/>
        <v>0</v>
      </c>
      <c r="F11" s="147" t="str">
        <f>Dolnośląski!E12</f>
        <v>-</v>
      </c>
      <c r="G11" s="147" t="str">
        <f>KujawskoPomorski!E12</f>
        <v>-</v>
      </c>
      <c r="H11" s="147" t="str">
        <f>Lubelski!E12</f>
        <v>-</v>
      </c>
      <c r="I11" s="147" t="str">
        <f>Lubuski!E12</f>
        <v>-</v>
      </c>
      <c r="J11" s="147" t="str">
        <f>Łódzki!E12</f>
        <v>-</v>
      </c>
      <c r="K11" s="147" t="str">
        <f>Małopolski!E12</f>
        <v>-</v>
      </c>
      <c r="L11" s="147" t="str">
        <f>Mazowiecki!E12</f>
        <v>-</v>
      </c>
      <c r="M11" s="147" t="str">
        <f>Opolski!E12</f>
        <v>-</v>
      </c>
      <c r="N11" s="147" t="str">
        <f>Podkarpacki!E12</f>
        <v>-</v>
      </c>
      <c r="O11" s="147" t="str">
        <f>Podlaski!E12</f>
        <v>-</v>
      </c>
      <c r="P11" s="147" t="str">
        <f>Pomorski!E12</f>
        <v>-</v>
      </c>
      <c r="Q11" s="147" t="str">
        <f>Śląski!E12</f>
        <v>-</v>
      </c>
      <c r="R11" s="147" t="str">
        <f>Świętokrzyski!E12</f>
        <v>-</v>
      </c>
      <c r="S11" s="147" t="str">
        <f>WarmińskoMazurski!E12</f>
        <v>-</v>
      </c>
      <c r="T11" s="147" t="str">
        <f>Wielkopolski!E12</f>
        <v>-</v>
      </c>
      <c r="U11" s="147" t="str">
        <f>Zachodniopomorski!E12</f>
        <v>-</v>
      </c>
      <c r="W11" s="142"/>
      <c r="X11" s="142"/>
      <c r="Y11" s="142"/>
      <c r="Z11" s="142"/>
    </row>
    <row r="12" spans="1:26" ht="28.5" customHeight="1" hidden="1">
      <c r="A12" s="33" t="s">
        <v>5</v>
      </c>
      <c r="B12" s="80" t="s">
        <v>161</v>
      </c>
      <c r="C12" s="80"/>
      <c r="D12" s="147" t="str">
        <f>CENTRALA!E13</f>
        <v>-</v>
      </c>
      <c r="E12" s="118">
        <f t="shared" si="0"/>
        <v>0</v>
      </c>
      <c r="F12" s="147" t="str">
        <f>Dolnośląski!E13</f>
        <v>-</v>
      </c>
      <c r="G12" s="147" t="str">
        <f>KujawskoPomorski!E13</f>
        <v>-</v>
      </c>
      <c r="H12" s="147" t="str">
        <f>Lubelski!E13</f>
        <v>-</v>
      </c>
      <c r="I12" s="147" t="str">
        <f>Lubuski!E13</f>
        <v>-</v>
      </c>
      <c r="J12" s="147" t="str">
        <f>Łódzki!E13</f>
        <v>-</v>
      </c>
      <c r="K12" s="147" t="str">
        <f>Małopolski!E13</f>
        <v>-</v>
      </c>
      <c r="L12" s="147" t="str">
        <f>Mazowiecki!E13</f>
        <v>-</v>
      </c>
      <c r="M12" s="147" t="str">
        <f>Opolski!E13</f>
        <v>-</v>
      </c>
      <c r="N12" s="147" t="str">
        <f>Podkarpacki!E13</f>
        <v>-</v>
      </c>
      <c r="O12" s="147" t="str">
        <f>Podlaski!E13</f>
        <v>-</v>
      </c>
      <c r="P12" s="147" t="str">
        <f>Pomorski!E13</f>
        <v>-</v>
      </c>
      <c r="Q12" s="147" t="str">
        <f>Śląski!E13</f>
        <v>-</v>
      </c>
      <c r="R12" s="147" t="str">
        <f>Świętokrzyski!E13</f>
        <v>-</v>
      </c>
      <c r="S12" s="147" t="str">
        <f>WarmińskoMazurski!E13</f>
        <v>-</v>
      </c>
      <c r="T12" s="147" t="str">
        <f>Wielkopolski!E13</f>
        <v>-</v>
      </c>
      <c r="U12" s="147" t="str">
        <f>Zachodniopomorski!E13</f>
        <v>-</v>
      </c>
      <c r="W12" s="142"/>
      <c r="X12" s="142"/>
      <c r="Y12" s="142"/>
      <c r="Z12" s="142"/>
    </row>
    <row r="13" spans="1:26" ht="28.5" customHeight="1" hidden="1">
      <c r="A13" s="33" t="s">
        <v>6</v>
      </c>
      <c r="B13" s="80" t="s">
        <v>170</v>
      </c>
      <c r="C13" s="80"/>
      <c r="D13" s="147" t="str">
        <f>CENTRALA!E14</f>
        <v>-</v>
      </c>
      <c r="E13" s="118">
        <f t="shared" si="0"/>
        <v>0</v>
      </c>
      <c r="F13" s="147" t="str">
        <f>Dolnośląski!E14</f>
        <v>-</v>
      </c>
      <c r="G13" s="147" t="str">
        <f>KujawskoPomorski!E14</f>
        <v>-</v>
      </c>
      <c r="H13" s="147" t="str">
        <f>Lubelski!E14</f>
        <v>-</v>
      </c>
      <c r="I13" s="147" t="str">
        <f>Lubuski!E14</f>
        <v>-</v>
      </c>
      <c r="J13" s="147" t="str">
        <f>Łódzki!E14</f>
        <v>-</v>
      </c>
      <c r="K13" s="147" t="str">
        <f>Małopolski!E14</f>
        <v>-</v>
      </c>
      <c r="L13" s="147" t="str">
        <f>Mazowiecki!E14</f>
        <v>-</v>
      </c>
      <c r="M13" s="147" t="str">
        <f>Opolski!E14</f>
        <v>-</v>
      </c>
      <c r="N13" s="147" t="str">
        <f>Podkarpacki!E14</f>
        <v>-</v>
      </c>
      <c r="O13" s="147" t="str">
        <f>Podlaski!E14</f>
        <v>-</v>
      </c>
      <c r="P13" s="147" t="str">
        <f>Pomorski!E14</f>
        <v>-</v>
      </c>
      <c r="Q13" s="147" t="str">
        <f>Śląski!E14</f>
        <v>-</v>
      </c>
      <c r="R13" s="147" t="str">
        <f>Świętokrzyski!E14</f>
        <v>-</v>
      </c>
      <c r="S13" s="147" t="str">
        <f>WarmińskoMazurski!E14</f>
        <v>-</v>
      </c>
      <c r="T13" s="147" t="str">
        <f>Wielkopolski!E14</f>
        <v>-</v>
      </c>
      <c r="U13" s="147" t="str">
        <f>Zachodniopomorski!E14</f>
        <v>-</v>
      </c>
      <c r="W13" s="142"/>
      <c r="X13" s="142"/>
      <c r="Y13" s="142"/>
      <c r="Z13" s="142"/>
    </row>
    <row r="14" spans="1:26" ht="28.5" customHeight="1" hidden="1">
      <c r="A14" s="33" t="s">
        <v>7</v>
      </c>
      <c r="B14" s="80" t="s">
        <v>169</v>
      </c>
      <c r="C14" s="80"/>
      <c r="D14" s="147" t="str">
        <f>CENTRALA!E15</f>
        <v>-</v>
      </c>
      <c r="E14" s="118">
        <f t="shared" si="0"/>
        <v>0</v>
      </c>
      <c r="F14" s="147" t="str">
        <f>Dolnośląski!E15</f>
        <v>-</v>
      </c>
      <c r="G14" s="147" t="str">
        <f>KujawskoPomorski!E15</f>
        <v>-</v>
      </c>
      <c r="H14" s="147" t="str">
        <f>Lubelski!E15</f>
        <v>-</v>
      </c>
      <c r="I14" s="147" t="str">
        <f>Lubuski!E15</f>
        <v>-</v>
      </c>
      <c r="J14" s="147" t="str">
        <f>Łódzki!E15</f>
        <v>-</v>
      </c>
      <c r="K14" s="147" t="str">
        <f>Małopolski!E15</f>
        <v>-</v>
      </c>
      <c r="L14" s="147" t="str">
        <f>Mazowiecki!E15</f>
        <v>-</v>
      </c>
      <c r="M14" s="147" t="str">
        <f>Opolski!E15</f>
        <v>-</v>
      </c>
      <c r="N14" s="147" t="str">
        <f>Podkarpacki!E15</f>
        <v>-</v>
      </c>
      <c r="O14" s="147" t="str">
        <f>Podlaski!E15</f>
        <v>-</v>
      </c>
      <c r="P14" s="147" t="str">
        <f>Pomorski!E15</f>
        <v>-</v>
      </c>
      <c r="Q14" s="147" t="str">
        <f>Śląski!E15</f>
        <v>-</v>
      </c>
      <c r="R14" s="147" t="str">
        <f>Świętokrzyski!E15</f>
        <v>-</v>
      </c>
      <c r="S14" s="147" t="str">
        <f>WarmińskoMazurski!E15</f>
        <v>-</v>
      </c>
      <c r="T14" s="147" t="str">
        <f>Wielkopolski!E15</f>
        <v>-</v>
      </c>
      <c r="U14" s="147" t="str">
        <f>Zachodniopomorski!E15</f>
        <v>-</v>
      </c>
      <c r="W14" s="142"/>
      <c r="X14" s="142"/>
      <c r="Y14" s="142"/>
      <c r="Z14" s="142"/>
    </row>
    <row r="15" spans="1:26" ht="28.5" customHeight="1" hidden="1">
      <c r="A15" s="33" t="s">
        <v>8</v>
      </c>
      <c r="B15" s="80" t="s">
        <v>162</v>
      </c>
      <c r="C15" s="80"/>
      <c r="D15" s="147" t="str">
        <f>CENTRALA!E16</f>
        <v>-</v>
      </c>
      <c r="E15" s="118">
        <f t="shared" si="0"/>
        <v>0</v>
      </c>
      <c r="F15" s="147" t="str">
        <f>Dolnośląski!E16</f>
        <v>-</v>
      </c>
      <c r="G15" s="147" t="str">
        <f>KujawskoPomorski!E16</f>
        <v>-</v>
      </c>
      <c r="H15" s="147" t="str">
        <f>Lubelski!E16</f>
        <v>-</v>
      </c>
      <c r="I15" s="147" t="str">
        <f>Lubuski!E16</f>
        <v>-</v>
      </c>
      <c r="J15" s="147" t="str">
        <f>Łódzki!E16</f>
        <v>-</v>
      </c>
      <c r="K15" s="147" t="str">
        <f>Małopolski!E16</f>
        <v>-</v>
      </c>
      <c r="L15" s="147" t="str">
        <f>Mazowiecki!E16</f>
        <v>-</v>
      </c>
      <c r="M15" s="147" t="str">
        <f>Opolski!E16</f>
        <v>-</v>
      </c>
      <c r="N15" s="147" t="str">
        <f>Podkarpacki!E16</f>
        <v>-</v>
      </c>
      <c r="O15" s="147" t="str">
        <f>Podlaski!E16</f>
        <v>-</v>
      </c>
      <c r="P15" s="147" t="str">
        <f>Pomorski!E16</f>
        <v>-</v>
      </c>
      <c r="Q15" s="147" t="str">
        <f>Śląski!E16</f>
        <v>-</v>
      </c>
      <c r="R15" s="147" t="str">
        <f>Świętokrzyski!E16</f>
        <v>-</v>
      </c>
      <c r="S15" s="147" t="str">
        <f>WarmińskoMazurski!E16</f>
        <v>-</v>
      </c>
      <c r="T15" s="147" t="str">
        <f>Wielkopolski!E16</f>
        <v>-</v>
      </c>
      <c r="U15" s="147" t="str">
        <f>Zachodniopomorski!E16</f>
        <v>-</v>
      </c>
      <c r="W15" s="142"/>
      <c r="X15" s="142"/>
      <c r="Y15" s="142"/>
      <c r="Z15" s="142"/>
    </row>
    <row r="16" spans="1:26" ht="28.5" customHeight="1" hidden="1">
      <c r="A16" s="33" t="s">
        <v>9</v>
      </c>
      <c r="B16" s="80" t="s">
        <v>163</v>
      </c>
      <c r="C16" s="80"/>
      <c r="D16" s="147" t="str">
        <f>CENTRALA!E17</f>
        <v>-</v>
      </c>
      <c r="E16" s="118">
        <f t="shared" si="0"/>
        <v>0</v>
      </c>
      <c r="F16" s="147" t="str">
        <f>Dolnośląski!E17</f>
        <v>-</v>
      </c>
      <c r="G16" s="147" t="str">
        <f>KujawskoPomorski!E17</f>
        <v>-</v>
      </c>
      <c r="H16" s="147" t="str">
        <f>Lubelski!E17</f>
        <v>-</v>
      </c>
      <c r="I16" s="147" t="str">
        <f>Lubuski!E17</f>
        <v>-</v>
      </c>
      <c r="J16" s="147" t="str">
        <f>Łódzki!E17</f>
        <v>-</v>
      </c>
      <c r="K16" s="147" t="str">
        <f>Małopolski!E17</f>
        <v>-</v>
      </c>
      <c r="L16" s="147" t="str">
        <f>Mazowiecki!E17</f>
        <v>-</v>
      </c>
      <c r="M16" s="147" t="str">
        <f>Opolski!E17</f>
        <v>-</v>
      </c>
      <c r="N16" s="147" t="str">
        <f>Podkarpacki!E17</f>
        <v>-</v>
      </c>
      <c r="O16" s="147" t="str">
        <f>Podlaski!E17</f>
        <v>-</v>
      </c>
      <c r="P16" s="147" t="str">
        <f>Pomorski!E17</f>
        <v>-</v>
      </c>
      <c r="Q16" s="147" t="str">
        <f>Śląski!E17</f>
        <v>-</v>
      </c>
      <c r="R16" s="147" t="str">
        <f>Świętokrzyski!E17</f>
        <v>-</v>
      </c>
      <c r="S16" s="147" t="str">
        <f>WarmińskoMazurski!E17</f>
        <v>-</v>
      </c>
      <c r="T16" s="147" t="str">
        <f>Wielkopolski!E17</f>
        <v>-</v>
      </c>
      <c r="U16" s="147" t="str">
        <f>Zachodniopomorski!E17</f>
        <v>-</v>
      </c>
      <c r="W16" s="142"/>
      <c r="X16" s="142"/>
      <c r="Y16" s="142"/>
      <c r="Z16" s="142"/>
    </row>
    <row r="17" spans="1:26" ht="28.5" customHeight="1" hidden="1">
      <c r="A17" s="33" t="s">
        <v>10</v>
      </c>
      <c r="B17" s="80" t="s">
        <v>171</v>
      </c>
      <c r="C17" s="80"/>
      <c r="D17" s="147" t="str">
        <f>CENTRALA!E18</f>
        <v>-</v>
      </c>
      <c r="E17" s="118">
        <f t="shared" si="0"/>
        <v>0</v>
      </c>
      <c r="F17" s="147" t="str">
        <f>Dolnośląski!E18</f>
        <v>-</v>
      </c>
      <c r="G17" s="147" t="str">
        <f>KujawskoPomorski!E18</f>
        <v>-</v>
      </c>
      <c r="H17" s="147" t="str">
        <f>Lubelski!E18</f>
        <v>-</v>
      </c>
      <c r="I17" s="147" t="str">
        <f>Lubuski!E18</f>
        <v>-</v>
      </c>
      <c r="J17" s="147" t="str">
        <f>Łódzki!E18</f>
        <v>-</v>
      </c>
      <c r="K17" s="147" t="str">
        <f>Małopolski!E18</f>
        <v>-</v>
      </c>
      <c r="L17" s="147" t="str">
        <f>Mazowiecki!E18</f>
        <v>-</v>
      </c>
      <c r="M17" s="147" t="str">
        <f>Opolski!E18</f>
        <v>-</v>
      </c>
      <c r="N17" s="147" t="str">
        <f>Podkarpacki!E18</f>
        <v>-</v>
      </c>
      <c r="O17" s="147" t="str">
        <f>Podlaski!E18</f>
        <v>-</v>
      </c>
      <c r="P17" s="147" t="str">
        <f>Pomorski!E18</f>
        <v>-</v>
      </c>
      <c r="Q17" s="147" t="str">
        <f>Śląski!E18</f>
        <v>-</v>
      </c>
      <c r="R17" s="147" t="str">
        <f>Świętokrzyski!E18</f>
        <v>-</v>
      </c>
      <c r="S17" s="147" t="str">
        <f>WarmińskoMazurski!E18</f>
        <v>-</v>
      </c>
      <c r="T17" s="147" t="str">
        <f>Wielkopolski!E18</f>
        <v>-</v>
      </c>
      <c r="U17" s="147" t="str">
        <f>Zachodniopomorski!E18</f>
        <v>-</v>
      </c>
      <c r="W17" s="142"/>
      <c r="X17" s="142"/>
      <c r="Y17" s="142"/>
      <c r="Z17" s="142"/>
    </row>
    <row r="18" spans="1:26" ht="42" customHeight="1" hidden="1">
      <c r="A18" s="33" t="s">
        <v>11</v>
      </c>
      <c r="B18" s="80" t="s">
        <v>164</v>
      </c>
      <c r="C18" s="80"/>
      <c r="D18" s="147" t="str">
        <f>CENTRALA!E19</f>
        <v>-</v>
      </c>
      <c r="E18" s="118">
        <f t="shared" si="0"/>
        <v>0</v>
      </c>
      <c r="F18" s="147" t="str">
        <f>Dolnośląski!E19</f>
        <v>-</v>
      </c>
      <c r="G18" s="147" t="str">
        <f>KujawskoPomorski!E19</f>
        <v>-</v>
      </c>
      <c r="H18" s="147" t="str">
        <f>Lubelski!E19</f>
        <v>-</v>
      </c>
      <c r="I18" s="147" t="str">
        <f>Lubuski!E19</f>
        <v>-</v>
      </c>
      <c r="J18" s="147" t="str">
        <f>Łódzki!E19</f>
        <v>-</v>
      </c>
      <c r="K18" s="147" t="str">
        <f>Małopolski!E19</f>
        <v>-</v>
      </c>
      <c r="L18" s="147" t="str">
        <f>Mazowiecki!E19</f>
        <v>-</v>
      </c>
      <c r="M18" s="147" t="str">
        <f>Opolski!E19</f>
        <v>-</v>
      </c>
      <c r="N18" s="147" t="str">
        <f>Podkarpacki!E19</f>
        <v>-</v>
      </c>
      <c r="O18" s="147" t="str">
        <f>Podlaski!E19</f>
        <v>-</v>
      </c>
      <c r="P18" s="147" t="str">
        <f>Pomorski!E19</f>
        <v>-</v>
      </c>
      <c r="Q18" s="147" t="str">
        <f>Śląski!E19</f>
        <v>-</v>
      </c>
      <c r="R18" s="147" t="str">
        <f>Świętokrzyski!E19</f>
        <v>-</v>
      </c>
      <c r="S18" s="147" t="str">
        <f>WarmińskoMazurski!E19</f>
        <v>-</v>
      </c>
      <c r="T18" s="147" t="str">
        <f>Wielkopolski!E19</f>
        <v>-</v>
      </c>
      <c r="U18" s="147" t="str">
        <f>Zachodniopomorski!E19</f>
        <v>-</v>
      </c>
      <c r="W18" s="142"/>
      <c r="X18" s="142"/>
      <c r="Y18" s="142"/>
      <c r="Z18" s="142"/>
    </row>
    <row r="19" spans="1:26" ht="28.5" customHeight="1" hidden="1">
      <c r="A19" s="33" t="s">
        <v>12</v>
      </c>
      <c r="B19" s="80" t="s">
        <v>165</v>
      </c>
      <c r="C19" s="80"/>
      <c r="D19" s="147" t="str">
        <f>CENTRALA!E20</f>
        <v>-</v>
      </c>
      <c r="E19" s="118">
        <f t="shared" si="0"/>
        <v>0</v>
      </c>
      <c r="F19" s="147" t="str">
        <f>Dolnośląski!E20</f>
        <v>-</v>
      </c>
      <c r="G19" s="147" t="str">
        <f>KujawskoPomorski!E20</f>
        <v>-</v>
      </c>
      <c r="H19" s="147" t="str">
        <f>Lubelski!E20</f>
        <v>-</v>
      </c>
      <c r="I19" s="147" t="str">
        <f>Lubuski!E20</f>
        <v>-</v>
      </c>
      <c r="J19" s="147" t="str">
        <f>Łódzki!E20</f>
        <v>-</v>
      </c>
      <c r="K19" s="147" t="str">
        <f>Małopolski!E20</f>
        <v>-</v>
      </c>
      <c r="L19" s="147" t="str">
        <f>Mazowiecki!E20</f>
        <v>-</v>
      </c>
      <c r="M19" s="147" t="str">
        <f>Opolski!E20</f>
        <v>-</v>
      </c>
      <c r="N19" s="147" t="str">
        <f>Podkarpacki!E20</f>
        <v>-</v>
      </c>
      <c r="O19" s="147" t="str">
        <f>Podlaski!E20</f>
        <v>-</v>
      </c>
      <c r="P19" s="147" t="str">
        <f>Pomorski!E20</f>
        <v>-</v>
      </c>
      <c r="Q19" s="147" t="str">
        <f>Śląski!E20</f>
        <v>-</v>
      </c>
      <c r="R19" s="147" t="str">
        <f>Świętokrzyski!E20</f>
        <v>-</v>
      </c>
      <c r="S19" s="147" t="str">
        <f>WarmińskoMazurski!E20</f>
        <v>-</v>
      </c>
      <c r="T19" s="147" t="str">
        <f>Wielkopolski!E20</f>
        <v>-</v>
      </c>
      <c r="U19" s="147" t="str">
        <f>Zachodniopomorski!E20</f>
        <v>-</v>
      </c>
      <c r="W19" s="142"/>
      <c r="X19" s="142"/>
      <c r="Y19" s="142"/>
      <c r="Z19" s="142"/>
    </row>
    <row r="20" spans="1:26" ht="42" customHeight="1" hidden="1">
      <c r="A20" s="33" t="s">
        <v>14</v>
      </c>
      <c r="B20" s="39" t="s">
        <v>13</v>
      </c>
      <c r="C20" s="39"/>
      <c r="D20" s="147" t="str">
        <f>CENTRALA!E21</f>
        <v>-</v>
      </c>
      <c r="E20" s="118">
        <f t="shared" si="0"/>
        <v>0</v>
      </c>
      <c r="F20" s="147" t="str">
        <f>Dolnośląski!E21</f>
        <v>-</v>
      </c>
      <c r="G20" s="147" t="str">
        <f>KujawskoPomorski!E21</f>
        <v>-</v>
      </c>
      <c r="H20" s="147" t="str">
        <f>Lubelski!E21</f>
        <v>-</v>
      </c>
      <c r="I20" s="147" t="str">
        <f>Lubuski!E21</f>
        <v>-</v>
      </c>
      <c r="J20" s="147" t="str">
        <f>Łódzki!E21</f>
        <v>-</v>
      </c>
      <c r="K20" s="147" t="str">
        <f>Małopolski!E21</f>
        <v>-</v>
      </c>
      <c r="L20" s="147" t="str">
        <f>Mazowiecki!E21</f>
        <v>-</v>
      </c>
      <c r="M20" s="147" t="str">
        <f>Opolski!E21</f>
        <v>-</v>
      </c>
      <c r="N20" s="147" t="str">
        <f>Podkarpacki!E21</f>
        <v>-</v>
      </c>
      <c r="O20" s="147" t="str">
        <f>Podlaski!E21</f>
        <v>-</v>
      </c>
      <c r="P20" s="147" t="str">
        <f>Pomorski!E21</f>
        <v>-</v>
      </c>
      <c r="Q20" s="147" t="str">
        <f>Śląski!E21</f>
        <v>-</v>
      </c>
      <c r="R20" s="147" t="str">
        <f>Świętokrzyski!E21</f>
        <v>-</v>
      </c>
      <c r="S20" s="147" t="str">
        <f>WarmińskoMazurski!E21</f>
        <v>-</v>
      </c>
      <c r="T20" s="147" t="str">
        <f>Wielkopolski!E21</f>
        <v>-</v>
      </c>
      <c r="U20" s="147" t="str">
        <f>Zachodniopomorski!E21</f>
        <v>-</v>
      </c>
      <c r="W20" s="142"/>
      <c r="X20" s="142"/>
      <c r="Y20" s="142"/>
      <c r="Z20" s="142"/>
    </row>
    <row r="21" spans="1:26" ht="28.5" customHeight="1" hidden="1">
      <c r="A21" s="34" t="s">
        <v>15</v>
      </c>
      <c r="B21" s="80" t="s">
        <v>167</v>
      </c>
      <c r="C21" s="80"/>
      <c r="D21" s="147" t="str">
        <f>CENTRALA!E22</f>
        <v>-</v>
      </c>
      <c r="E21" s="118">
        <f t="shared" si="0"/>
        <v>0</v>
      </c>
      <c r="F21" s="147" t="str">
        <f>Dolnośląski!E22</f>
        <v>-</v>
      </c>
      <c r="G21" s="147" t="str">
        <f>KujawskoPomorski!E22</f>
        <v>-</v>
      </c>
      <c r="H21" s="147" t="str">
        <f>Lubelski!E22</f>
        <v>-</v>
      </c>
      <c r="I21" s="147" t="str">
        <f>Lubuski!E22</f>
        <v>-</v>
      </c>
      <c r="J21" s="147" t="str">
        <f>Łódzki!E22</f>
        <v>-</v>
      </c>
      <c r="K21" s="147" t="str">
        <f>Małopolski!E22</f>
        <v>-</v>
      </c>
      <c r="L21" s="147" t="str">
        <f>Mazowiecki!E22</f>
        <v>-</v>
      </c>
      <c r="M21" s="147" t="str">
        <f>Opolski!E22</f>
        <v>-</v>
      </c>
      <c r="N21" s="147" t="str">
        <f>Podkarpacki!E22</f>
        <v>-</v>
      </c>
      <c r="O21" s="147" t="str">
        <f>Podlaski!E22</f>
        <v>-</v>
      </c>
      <c r="P21" s="147" t="str">
        <f>Pomorski!E22</f>
        <v>-</v>
      </c>
      <c r="Q21" s="147" t="str">
        <f>Śląski!E22</f>
        <v>-</v>
      </c>
      <c r="R21" s="147" t="str">
        <f>Świętokrzyski!E22</f>
        <v>-</v>
      </c>
      <c r="S21" s="147" t="str">
        <f>WarmińskoMazurski!E22</f>
        <v>-</v>
      </c>
      <c r="T21" s="147" t="str">
        <f>Wielkopolski!E22</f>
        <v>-</v>
      </c>
      <c r="U21" s="147" t="str">
        <f>Zachodniopomorski!E22</f>
        <v>-</v>
      </c>
      <c r="W21" s="142"/>
      <c r="X21" s="142"/>
      <c r="Y21" s="142"/>
      <c r="Z21" s="142"/>
    </row>
    <row r="22" spans="1:26" ht="28.5" customHeight="1" hidden="1">
      <c r="A22" s="32" t="s">
        <v>172</v>
      </c>
      <c r="B22" s="38" t="s">
        <v>66</v>
      </c>
      <c r="C22" s="38"/>
      <c r="D22" s="147" t="str">
        <f>CENTRALA!E23</f>
        <v>-</v>
      </c>
      <c r="E22" s="118">
        <f t="shared" si="0"/>
        <v>0</v>
      </c>
      <c r="F22" s="147" t="str">
        <f>Dolnośląski!E23</f>
        <v>-</v>
      </c>
      <c r="G22" s="147" t="str">
        <f>KujawskoPomorski!E23</f>
        <v>-</v>
      </c>
      <c r="H22" s="147" t="str">
        <f>Lubelski!E23</f>
        <v>-</v>
      </c>
      <c r="I22" s="147" t="str">
        <f>Lubuski!E23</f>
        <v>-</v>
      </c>
      <c r="J22" s="147" t="str">
        <f>Łódzki!E23</f>
        <v>-</v>
      </c>
      <c r="K22" s="147" t="str">
        <f>Małopolski!E23</f>
        <v>-</v>
      </c>
      <c r="L22" s="147" t="str">
        <f>Mazowiecki!E23</f>
        <v>-</v>
      </c>
      <c r="M22" s="147" t="str">
        <f>Opolski!E23</f>
        <v>-</v>
      </c>
      <c r="N22" s="147" t="str">
        <f>Podkarpacki!E23</f>
        <v>-</v>
      </c>
      <c r="O22" s="147" t="str">
        <f>Podlaski!E23</f>
        <v>-</v>
      </c>
      <c r="P22" s="147" t="str">
        <f>Pomorski!E23</f>
        <v>-</v>
      </c>
      <c r="Q22" s="147" t="str">
        <f>Śląski!E23</f>
        <v>-</v>
      </c>
      <c r="R22" s="147" t="str">
        <f>Świętokrzyski!E23</f>
        <v>-</v>
      </c>
      <c r="S22" s="147" t="str">
        <f>WarmińskoMazurski!E23</f>
        <v>-</v>
      </c>
      <c r="T22" s="147" t="str">
        <f>Wielkopolski!E23</f>
        <v>-</v>
      </c>
      <c r="U22" s="147" t="str">
        <f>Zachodniopomorski!E23</f>
        <v>-</v>
      </c>
      <c r="W22" s="142"/>
      <c r="X22" s="142"/>
      <c r="Y22" s="142"/>
      <c r="Z22" s="142"/>
    </row>
    <row r="23" spans="1:26" ht="28.5" customHeight="1" hidden="1">
      <c r="A23" s="35" t="s">
        <v>16</v>
      </c>
      <c r="B23" s="40" t="s">
        <v>139</v>
      </c>
      <c r="C23" s="40"/>
      <c r="D23" s="147" t="str">
        <f>CENTRALA!E24</f>
        <v>-</v>
      </c>
      <c r="E23" s="118">
        <f t="shared" si="0"/>
        <v>0</v>
      </c>
      <c r="F23" s="147" t="str">
        <f>Dolnośląski!E24</f>
        <v>-</v>
      </c>
      <c r="G23" s="147" t="str">
        <f>KujawskoPomorski!E24</f>
        <v>-</v>
      </c>
      <c r="H23" s="147" t="str">
        <f>Lubelski!E24</f>
        <v>-</v>
      </c>
      <c r="I23" s="147" t="str">
        <f>Lubuski!E24</f>
        <v>-</v>
      </c>
      <c r="J23" s="147" t="str">
        <f>Łódzki!E24</f>
        <v>-</v>
      </c>
      <c r="K23" s="147" t="str">
        <f>Małopolski!E24</f>
        <v>-</v>
      </c>
      <c r="L23" s="147" t="str">
        <f>Mazowiecki!E24</f>
        <v>-</v>
      </c>
      <c r="M23" s="147" t="str">
        <f>Opolski!E24</f>
        <v>-</v>
      </c>
      <c r="N23" s="147" t="str">
        <f>Podkarpacki!E24</f>
        <v>-</v>
      </c>
      <c r="O23" s="147" t="str">
        <f>Podlaski!E24</f>
        <v>-</v>
      </c>
      <c r="P23" s="147" t="str">
        <f>Pomorski!E24</f>
        <v>-</v>
      </c>
      <c r="Q23" s="147" t="str">
        <f>Śląski!E24</f>
        <v>-</v>
      </c>
      <c r="R23" s="147" t="str">
        <f>Świętokrzyski!E24</f>
        <v>-</v>
      </c>
      <c r="S23" s="147" t="str">
        <f>WarmińskoMazurski!E24</f>
        <v>-</v>
      </c>
      <c r="T23" s="147" t="str">
        <f>Wielkopolski!E24</f>
        <v>-</v>
      </c>
      <c r="U23" s="147" t="str">
        <f>Zachodniopomorski!E24</f>
        <v>-</v>
      </c>
      <c r="W23" s="142"/>
      <c r="X23" s="142"/>
      <c r="Y23" s="142"/>
      <c r="Z23" s="142"/>
    </row>
    <row r="24" spans="1:26" ht="42" customHeight="1" hidden="1">
      <c r="A24" s="35" t="s">
        <v>136</v>
      </c>
      <c r="B24" s="41" t="s">
        <v>60</v>
      </c>
      <c r="C24" s="41"/>
      <c r="D24" s="147" t="str">
        <f>CENTRALA!E25</f>
        <v>-</v>
      </c>
      <c r="E24" s="118">
        <f t="shared" si="0"/>
        <v>0</v>
      </c>
      <c r="F24" s="147" t="str">
        <f>Dolnośląski!E25</f>
        <v>-</v>
      </c>
      <c r="G24" s="147" t="str">
        <f>KujawskoPomorski!E25</f>
        <v>-</v>
      </c>
      <c r="H24" s="147" t="str">
        <f>Lubelski!E25</f>
        <v>-</v>
      </c>
      <c r="I24" s="147" t="str">
        <f>Lubuski!E25</f>
        <v>-</v>
      </c>
      <c r="J24" s="147" t="str">
        <f>Łódzki!E25</f>
        <v>-</v>
      </c>
      <c r="K24" s="147" t="str">
        <f>Małopolski!E25</f>
        <v>-</v>
      </c>
      <c r="L24" s="147" t="str">
        <f>Mazowiecki!E25</f>
        <v>-</v>
      </c>
      <c r="M24" s="147" t="str">
        <f>Opolski!E25</f>
        <v>-</v>
      </c>
      <c r="N24" s="147" t="str">
        <f>Podkarpacki!E25</f>
        <v>-</v>
      </c>
      <c r="O24" s="147" t="str">
        <f>Podlaski!E25</f>
        <v>-</v>
      </c>
      <c r="P24" s="147" t="str">
        <f>Pomorski!E25</f>
        <v>-</v>
      </c>
      <c r="Q24" s="147" t="str">
        <f>Śląski!E25</f>
        <v>-</v>
      </c>
      <c r="R24" s="147" t="str">
        <f>Świętokrzyski!E25</f>
        <v>-</v>
      </c>
      <c r="S24" s="147" t="str">
        <f>WarmińskoMazurski!E25</f>
        <v>-</v>
      </c>
      <c r="T24" s="147" t="str">
        <f>Wielkopolski!E25</f>
        <v>-</v>
      </c>
      <c r="U24" s="147" t="str">
        <f>Zachodniopomorski!E25</f>
        <v>-</v>
      </c>
      <c r="W24" s="142"/>
      <c r="X24" s="142"/>
      <c r="Y24" s="142"/>
      <c r="Z24" s="142"/>
    </row>
    <row r="25" spans="1:26" ht="42" customHeight="1" hidden="1">
      <c r="A25" s="35" t="s">
        <v>137</v>
      </c>
      <c r="B25" s="41" t="s">
        <v>140</v>
      </c>
      <c r="C25" s="41"/>
      <c r="D25" s="147" t="str">
        <f>CENTRALA!E26</f>
        <v>-</v>
      </c>
      <c r="E25" s="118">
        <f t="shared" si="0"/>
        <v>0</v>
      </c>
      <c r="F25" s="147" t="str">
        <f>Dolnośląski!E26</f>
        <v>-</v>
      </c>
      <c r="G25" s="147" t="str">
        <f>KujawskoPomorski!E26</f>
        <v>-</v>
      </c>
      <c r="H25" s="147" t="str">
        <f>Lubelski!E26</f>
        <v>-</v>
      </c>
      <c r="I25" s="147" t="str">
        <f>Lubuski!E26</f>
        <v>-</v>
      </c>
      <c r="J25" s="147" t="str">
        <f>Łódzki!E26</f>
        <v>-</v>
      </c>
      <c r="K25" s="147" t="str">
        <f>Małopolski!E26</f>
        <v>-</v>
      </c>
      <c r="L25" s="147" t="str">
        <f>Mazowiecki!E26</f>
        <v>-</v>
      </c>
      <c r="M25" s="147" t="str">
        <f>Opolski!E26</f>
        <v>-</v>
      </c>
      <c r="N25" s="147" t="str">
        <f>Podkarpacki!E26</f>
        <v>-</v>
      </c>
      <c r="O25" s="147" t="str">
        <f>Podlaski!E26</f>
        <v>-</v>
      </c>
      <c r="P25" s="147" t="str">
        <f>Pomorski!E26</f>
        <v>-</v>
      </c>
      <c r="Q25" s="147" t="str">
        <f>Śląski!E26</f>
        <v>-</v>
      </c>
      <c r="R25" s="147" t="str">
        <f>Świętokrzyski!E26</f>
        <v>-</v>
      </c>
      <c r="S25" s="147" t="str">
        <f>WarmińskoMazurski!E26</f>
        <v>-</v>
      </c>
      <c r="T25" s="147" t="str">
        <f>Wielkopolski!E26</f>
        <v>-</v>
      </c>
      <c r="U25" s="147" t="str">
        <f>Zachodniopomorski!E26</f>
        <v>-</v>
      </c>
      <c r="W25" s="142"/>
      <c r="X25" s="142"/>
      <c r="Y25" s="142"/>
      <c r="Z25" s="142"/>
    </row>
    <row r="26" spans="1:26" ht="28.5" customHeight="1" hidden="1">
      <c r="A26" s="35" t="s">
        <v>138</v>
      </c>
      <c r="B26" s="41" t="s">
        <v>141</v>
      </c>
      <c r="C26" s="41"/>
      <c r="D26" s="147" t="str">
        <f>CENTRALA!E27</f>
        <v>-</v>
      </c>
      <c r="E26" s="118">
        <f t="shared" si="0"/>
        <v>0</v>
      </c>
      <c r="F26" s="147" t="str">
        <f>Dolnośląski!E27</f>
        <v>-</v>
      </c>
      <c r="G26" s="147" t="str">
        <f>KujawskoPomorski!E27</f>
        <v>-</v>
      </c>
      <c r="H26" s="147" t="str">
        <f>Lubelski!E27</f>
        <v>-</v>
      </c>
      <c r="I26" s="147" t="str">
        <f>Lubuski!E27</f>
        <v>-</v>
      </c>
      <c r="J26" s="147" t="str">
        <f>Łódzki!E27</f>
        <v>-</v>
      </c>
      <c r="K26" s="147" t="str">
        <f>Małopolski!E27</f>
        <v>-</v>
      </c>
      <c r="L26" s="147" t="str">
        <f>Mazowiecki!E27</f>
        <v>-</v>
      </c>
      <c r="M26" s="147" t="str">
        <f>Opolski!E27</f>
        <v>-</v>
      </c>
      <c r="N26" s="147" t="str">
        <f>Podkarpacki!E27</f>
        <v>-</v>
      </c>
      <c r="O26" s="147" t="str">
        <f>Podlaski!E27</f>
        <v>-</v>
      </c>
      <c r="P26" s="147" t="str">
        <f>Pomorski!E27</f>
        <v>-</v>
      </c>
      <c r="Q26" s="147" t="str">
        <f>Śląski!E27</f>
        <v>-</v>
      </c>
      <c r="R26" s="147" t="str">
        <f>Świętokrzyski!E27</f>
        <v>-</v>
      </c>
      <c r="S26" s="147" t="str">
        <f>WarmińskoMazurski!E27</f>
        <v>-</v>
      </c>
      <c r="T26" s="147" t="str">
        <f>Wielkopolski!E27</f>
        <v>-</v>
      </c>
      <c r="U26" s="147" t="str">
        <f>Zachodniopomorski!E27</f>
        <v>-</v>
      </c>
      <c r="W26" s="142"/>
      <c r="X26" s="142"/>
      <c r="Y26" s="142"/>
      <c r="Z26" s="142"/>
    </row>
    <row r="27" spans="1:26" s="5" customFormat="1" ht="30" customHeight="1" hidden="1">
      <c r="A27" s="36" t="s">
        <v>68</v>
      </c>
      <c r="B27" s="42" t="s">
        <v>69</v>
      </c>
      <c r="C27" s="42"/>
      <c r="D27" s="118" t="str">
        <f>CENTRALA!E28</f>
        <v>-</v>
      </c>
      <c r="E27" s="118">
        <f t="shared" si="0"/>
        <v>0</v>
      </c>
      <c r="F27" s="118" t="str">
        <f>Dolnośląski!E28</f>
        <v>-</v>
      </c>
      <c r="G27" s="118" t="str">
        <f>KujawskoPomorski!E28</f>
        <v>-</v>
      </c>
      <c r="H27" s="118" t="str">
        <f>Lubelski!E28</f>
        <v>-</v>
      </c>
      <c r="I27" s="118" t="str">
        <f>Lubuski!E28</f>
        <v>-</v>
      </c>
      <c r="J27" s="118" t="str">
        <f>Łódzki!E28</f>
        <v>-</v>
      </c>
      <c r="K27" s="118" t="str">
        <f>Małopolski!E28</f>
        <v>-</v>
      </c>
      <c r="L27" s="118" t="str">
        <f>Mazowiecki!E28</f>
        <v>-</v>
      </c>
      <c r="M27" s="118" t="str">
        <f>Opolski!E28</f>
        <v>-</v>
      </c>
      <c r="N27" s="118" t="str">
        <f>Podkarpacki!E28</f>
        <v>-</v>
      </c>
      <c r="O27" s="118" t="str">
        <f>Podlaski!E28</f>
        <v>-</v>
      </c>
      <c r="P27" s="118" t="str">
        <f>Pomorski!E28</f>
        <v>-</v>
      </c>
      <c r="Q27" s="118" t="str">
        <f>Śląski!E28</f>
        <v>-</v>
      </c>
      <c r="R27" s="118" t="str">
        <f>Świętokrzyski!E28</f>
        <v>-</v>
      </c>
      <c r="S27" s="118" t="str">
        <f>WarmińskoMazurski!E28</f>
        <v>-</v>
      </c>
      <c r="T27" s="118" t="str">
        <f>Wielkopolski!E28</f>
        <v>-</v>
      </c>
      <c r="U27" s="118" t="str">
        <f>Zachodniopomorski!E28</f>
        <v>-</v>
      </c>
      <c r="W27" s="145"/>
      <c r="X27" s="145"/>
      <c r="Y27" s="145"/>
      <c r="Z27" s="145"/>
    </row>
    <row r="28" spans="1:26" s="5" customFormat="1" ht="30" customHeight="1" hidden="1">
      <c r="A28" s="36" t="s">
        <v>67</v>
      </c>
      <c r="B28" s="42" t="s">
        <v>70</v>
      </c>
      <c r="C28" s="42"/>
      <c r="D28" s="118" t="str">
        <f>CENTRALA!E29</f>
        <v>-</v>
      </c>
      <c r="E28" s="118">
        <f t="shared" si="0"/>
        <v>0</v>
      </c>
      <c r="F28" s="118" t="str">
        <f>Dolnośląski!E29</f>
        <v>-</v>
      </c>
      <c r="G28" s="118" t="str">
        <f>KujawskoPomorski!E29</f>
        <v>-</v>
      </c>
      <c r="H28" s="118" t="str">
        <f>Lubelski!E29</f>
        <v>-</v>
      </c>
      <c r="I28" s="118" t="str">
        <f>Lubuski!E29</f>
        <v>-</v>
      </c>
      <c r="J28" s="118" t="str">
        <f>Łódzki!E29</f>
        <v>-</v>
      </c>
      <c r="K28" s="118" t="str">
        <f>Małopolski!E29</f>
        <v>-</v>
      </c>
      <c r="L28" s="118" t="str">
        <f>Mazowiecki!E29</f>
        <v>-</v>
      </c>
      <c r="M28" s="118" t="str">
        <f>Opolski!E29</f>
        <v>-</v>
      </c>
      <c r="N28" s="118" t="str">
        <f>Podkarpacki!E29</f>
        <v>-</v>
      </c>
      <c r="O28" s="118" t="str">
        <f>Podlaski!E29</f>
        <v>-</v>
      </c>
      <c r="P28" s="118" t="str">
        <f>Pomorski!E29</f>
        <v>-</v>
      </c>
      <c r="Q28" s="118" t="str">
        <f>Śląski!E29</f>
        <v>-</v>
      </c>
      <c r="R28" s="118" t="str">
        <f>Świętokrzyski!E29</f>
        <v>-</v>
      </c>
      <c r="S28" s="118" t="str">
        <f>WarmińskoMazurski!E29</f>
        <v>-</v>
      </c>
      <c r="T28" s="118" t="str">
        <f>Wielkopolski!E29</f>
        <v>-</v>
      </c>
      <c r="U28" s="118" t="str">
        <f>Zachodniopomorski!E29</f>
        <v>-</v>
      </c>
      <c r="W28" s="145"/>
      <c r="X28" s="145"/>
      <c r="Y28" s="145"/>
      <c r="Z28" s="145"/>
    </row>
    <row r="29" spans="1:26" s="3" customFormat="1" ht="30" customHeight="1" hidden="1">
      <c r="A29" s="30" t="s">
        <v>17</v>
      </c>
      <c r="B29" s="50" t="s">
        <v>18</v>
      </c>
      <c r="C29" s="50"/>
      <c r="D29" s="119">
        <f>CENTRALA!E30</f>
        <v>128</v>
      </c>
      <c r="E29" s="119">
        <f>SUM(F29:U29)</f>
        <v>0</v>
      </c>
      <c r="F29" s="119" t="str">
        <f>Dolnośląski!E30</f>
        <v>-</v>
      </c>
      <c r="G29" s="119" t="str">
        <f>KujawskoPomorski!E30</f>
        <v>-</v>
      </c>
      <c r="H29" s="119" t="str">
        <f>Lubelski!E30</f>
        <v>-</v>
      </c>
      <c r="I29" s="119" t="str">
        <f>Lubuski!E30</f>
        <v>-</v>
      </c>
      <c r="J29" s="119" t="str">
        <f>Łódzki!E30</f>
        <v>-</v>
      </c>
      <c r="K29" s="119" t="str">
        <f>Małopolski!E30</f>
        <v>-</v>
      </c>
      <c r="L29" s="119" t="str">
        <f>Mazowiecki!E30</f>
        <v>-</v>
      </c>
      <c r="M29" s="119" t="str">
        <f>Opolski!E30</f>
        <v>-</v>
      </c>
      <c r="N29" s="119" t="str">
        <f>Podkarpacki!E30</f>
        <v>-</v>
      </c>
      <c r="O29" s="119" t="str">
        <f>Podlaski!E30</f>
        <v>-</v>
      </c>
      <c r="P29" s="119" t="str">
        <f>Pomorski!E30</f>
        <v>-</v>
      </c>
      <c r="Q29" s="119" t="str">
        <f>Śląski!E30</f>
        <v>-</v>
      </c>
      <c r="R29" s="119" t="str">
        <f>Świętokrzyski!E30</f>
        <v>-</v>
      </c>
      <c r="S29" s="119" t="str">
        <f>WarmińskoMazurski!E30</f>
        <v>-</v>
      </c>
      <c r="T29" s="119" t="str">
        <f>Wielkopolski!E30</f>
        <v>-</v>
      </c>
      <c r="U29" s="119" t="str">
        <f>Zachodniopomorski!E30</f>
        <v>-</v>
      </c>
      <c r="W29" s="144"/>
      <c r="X29" s="144"/>
      <c r="Y29" s="144"/>
      <c r="Z29" s="144"/>
    </row>
    <row r="30" spans="1:26" ht="30" customHeight="1" hidden="1">
      <c r="A30" s="35" t="s">
        <v>19</v>
      </c>
      <c r="B30" s="44" t="s">
        <v>20</v>
      </c>
      <c r="C30" s="44"/>
      <c r="D30" s="118">
        <f>CENTRALA!E31</f>
        <v>11</v>
      </c>
      <c r="E30" s="118">
        <f>SUM(F30:U30)</f>
        <v>0</v>
      </c>
      <c r="F30" s="118" t="str">
        <f>Dolnośląski!E31</f>
        <v>-</v>
      </c>
      <c r="G30" s="118" t="str">
        <f>KujawskoPomorski!E31</f>
        <v>-</v>
      </c>
      <c r="H30" s="118" t="str">
        <f>Lubelski!E31</f>
        <v>-</v>
      </c>
      <c r="I30" s="118" t="str">
        <f>Lubuski!E31</f>
        <v>-</v>
      </c>
      <c r="J30" s="118" t="str">
        <f>Łódzki!E31</f>
        <v>-</v>
      </c>
      <c r="K30" s="118" t="str">
        <f>Małopolski!E31</f>
        <v>-</v>
      </c>
      <c r="L30" s="118" t="str">
        <f>Mazowiecki!E31</f>
        <v>-</v>
      </c>
      <c r="M30" s="118" t="str">
        <f>Opolski!E31</f>
        <v>-</v>
      </c>
      <c r="N30" s="118" t="str">
        <f>Podkarpacki!E31</f>
        <v>-</v>
      </c>
      <c r="O30" s="118" t="str">
        <f>Podlaski!E31</f>
        <v>-</v>
      </c>
      <c r="P30" s="118" t="str">
        <f>Pomorski!E31</f>
        <v>-</v>
      </c>
      <c r="Q30" s="118" t="str">
        <f>Śląski!E31</f>
        <v>-</v>
      </c>
      <c r="R30" s="118" t="str">
        <f>Świętokrzyski!E31</f>
        <v>-</v>
      </c>
      <c r="S30" s="118" t="str">
        <f>WarmińskoMazurski!E31</f>
        <v>-</v>
      </c>
      <c r="T30" s="118" t="str">
        <f>Wielkopolski!E31</f>
        <v>-</v>
      </c>
      <c r="U30" s="118" t="str">
        <f>Zachodniopomorski!E31</f>
        <v>-</v>
      </c>
      <c r="W30" s="142"/>
      <c r="X30" s="142"/>
      <c r="Y30" s="142"/>
      <c r="Z30" s="142"/>
    </row>
    <row r="31" spans="1:26" ht="30" customHeight="1" hidden="1">
      <c r="A31" s="35" t="s">
        <v>21</v>
      </c>
      <c r="B31" s="44" t="s">
        <v>22</v>
      </c>
      <c r="C31" s="44"/>
      <c r="D31" s="118">
        <f>CENTRALA!E32</f>
        <v>2</v>
      </c>
      <c r="E31" s="118">
        <f t="shared" si="0"/>
        <v>0</v>
      </c>
      <c r="F31" s="118" t="str">
        <f>Dolnośląski!E32</f>
        <v>-</v>
      </c>
      <c r="G31" s="118" t="str">
        <f>KujawskoPomorski!E32</f>
        <v>-</v>
      </c>
      <c r="H31" s="118" t="str">
        <f>Lubelski!E32</f>
        <v>-</v>
      </c>
      <c r="I31" s="118" t="str">
        <f>Lubuski!E32</f>
        <v>-</v>
      </c>
      <c r="J31" s="118" t="str">
        <f>Łódzki!E32</f>
        <v>-</v>
      </c>
      <c r="K31" s="118" t="str">
        <f>Małopolski!E32</f>
        <v>-</v>
      </c>
      <c r="L31" s="118" t="str">
        <f>Mazowiecki!E32</f>
        <v>-</v>
      </c>
      <c r="M31" s="118" t="str">
        <f>Opolski!E32</f>
        <v>-</v>
      </c>
      <c r="N31" s="118" t="str">
        <f>Podkarpacki!E32</f>
        <v>-</v>
      </c>
      <c r="O31" s="118" t="str">
        <f>Podlaski!E32</f>
        <v>-</v>
      </c>
      <c r="P31" s="118" t="str">
        <f>Pomorski!E32</f>
        <v>-</v>
      </c>
      <c r="Q31" s="118" t="str">
        <f>Śląski!E32</f>
        <v>-</v>
      </c>
      <c r="R31" s="118" t="str">
        <f>Świętokrzyski!E32</f>
        <v>-</v>
      </c>
      <c r="S31" s="118" t="str">
        <f>WarmińskoMazurski!E32</f>
        <v>-</v>
      </c>
      <c r="T31" s="118" t="str">
        <f>Wielkopolski!E32</f>
        <v>-</v>
      </c>
      <c r="U31" s="118" t="str">
        <f>Zachodniopomorski!E32</f>
        <v>-</v>
      </c>
      <c r="W31" s="142"/>
      <c r="X31" s="142"/>
      <c r="Y31" s="142"/>
      <c r="Z31" s="142"/>
    </row>
    <row r="32" spans="1:26" ht="30" customHeight="1" hidden="1">
      <c r="A32" s="35" t="s">
        <v>23</v>
      </c>
      <c r="B32" s="45" t="s">
        <v>37</v>
      </c>
      <c r="C32" s="45"/>
      <c r="D32" s="118" t="str">
        <f>CENTRALA!E33</f>
        <v>-</v>
      </c>
      <c r="E32" s="118">
        <f>SUM(F32:U32)</f>
        <v>0</v>
      </c>
      <c r="F32" s="118" t="str">
        <f>Dolnośląski!E33</f>
        <v>-</v>
      </c>
      <c r="G32" s="118" t="str">
        <f>KujawskoPomorski!E33</f>
        <v>-</v>
      </c>
      <c r="H32" s="118" t="str">
        <f>Lubelski!E33</f>
        <v>-</v>
      </c>
      <c r="I32" s="118" t="str">
        <f>Lubuski!E33</f>
        <v>-</v>
      </c>
      <c r="J32" s="118" t="str">
        <f>Łódzki!E33</f>
        <v>-</v>
      </c>
      <c r="K32" s="118" t="str">
        <f>Małopolski!E33</f>
        <v>-</v>
      </c>
      <c r="L32" s="118" t="str">
        <f>Mazowiecki!E33</f>
        <v>-</v>
      </c>
      <c r="M32" s="118" t="str">
        <f>Opolski!E33</f>
        <v>-</v>
      </c>
      <c r="N32" s="118" t="str">
        <f>Podkarpacki!E33</f>
        <v>-</v>
      </c>
      <c r="O32" s="118" t="str">
        <f>Podlaski!E33</f>
        <v>-</v>
      </c>
      <c r="P32" s="118" t="str">
        <f>Pomorski!E33</f>
        <v>-</v>
      </c>
      <c r="Q32" s="118" t="str">
        <f>Śląski!E33</f>
        <v>-</v>
      </c>
      <c r="R32" s="118" t="str">
        <f>Świętokrzyski!E33</f>
        <v>-</v>
      </c>
      <c r="S32" s="118" t="str">
        <f>WarmińskoMazurski!E33</f>
        <v>-</v>
      </c>
      <c r="T32" s="118" t="str">
        <f>Wielkopolski!E33</f>
        <v>-</v>
      </c>
      <c r="U32" s="118" t="str">
        <f>Zachodniopomorski!E33</f>
        <v>-</v>
      </c>
      <c r="W32" s="142"/>
      <c r="X32" s="142"/>
      <c r="Y32" s="142"/>
      <c r="Z32" s="142"/>
    </row>
    <row r="33" spans="1:26" ht="30" customHeight="1" hidden="1">
      <c r="A33" s="46" t="s">
        <v>45</v>
      </c>
      <c r="B33" s="47" t="s">
        <v>38</v>
      </c>
      <c r="C33" s="47"/>
      <c r="D33" s="118" t="str">
        <f>CENTRALA!E34</f>
        <v>-</v>
      </c>
      <c r="E33" s="118">
        <f t="shared" si="0"/>
        <v>0</v>
      </c>
      <c r="F33" s="118" t="str">
        <f>Dolnośląski!E34</f>
        <v>-</v>
      </c>
      <c r="G33" s="118" t="str">
        <f>KujawskoPomorski!E34</f>
        <v>-</v>
      </c>
      <c r="H33" s="118" t="str">
        <f>Lubelski!E34</f>
        <v>-</v>
      </c>
      <c r="I33" s="118" t="str">
        <f>Lubuski!E34</f>
        <v>-</v>
      </c>
      <c r="J33" s="118" t="str">
        <f>Łódzki!E34</f>
        <v>-</v>
      </c>
      <c r="K33" s="118" t="str">
        <f>Małopolski!E34</f>
        <v>-</v>
      </c>
      <c r="L33" s="118" t="str">
        <f>Mazowiecki!E34</f>
        <v>-</v>
      </c>
      <c r="M33" s="118" t="str">
        <f>Opolski!E34</f>
        <v>-</v>
      </c>
      <c r="N33" s="118" t="str">
        <f>Podkarpacki!E34</f>
        <v>-</v>
      </c>
      <c r="O33" s="118" t="str">
        <f>Podlaski!E34</f>
        <v>-</v>
      </c>
      <c r="P33" s="118" t="str">
        <f>Pomorski!E34</f>
        <v>-</v>
      </c>
      <c r="Q33" s="118" t="str">
        <f>Śląski!E34</f>
        <v>-</v>
      </c>
      <c r="R33" s="118" t="str">
        <f>Świętokrzyski!E34</f>
        <v>-</v>
      </c>
      <c r="S33" s="118" t="str">
        <f>WarmińskoMazurski!E34</f>
        <v>-</v>
      </c>
      <c r="T33" s="118" t="str">
        <f>Wielkopolski!E34</f>
        <v>-</v>
      </c>
      <c r="U33" s="118" t="str">
        <f>Zachodniopomorski!E34</f>
        <v>-</v>
      </c>
      <c r="W33" s="142"/>
      <c r="X33" s="142"/>
      <c r="Y33" s="142"/>
      <c r="Z33" s="142"/>
    </row>
    <row r="34" spans="1:26" ht="30" customHeight="1" hidden="1">
      <c r="A34" s="46" t="s">
        <v>46</v>
      </c>
      <c r="B34" s="48" t="s">
        <v>39</v>
      </c>
      <c r="C34" s="48"/>
      <c r="D34" s="118" t="str">
        <f>CENTRALA!E35</f>
        <v>-</v>
      </c>
      <c r="E34" s="118">
        <f t="shared" si="0"/>
        <v>0</v>
      </c>
      <c r="F34" s="118" t="str">
        <f>Dolnośląski!E35</f>
        <v>-</v>
      </c>
      <c r="G34" s="118" t="str">
        <f>KujawskoPomorski!E35</f>
        <v>-</v>
      </c>
      <c r="H34" s="118" t="str">
        <f>Lubelski!E35</f>
        <v>-</v>
      </c>
      <c r="I34" s="118" t="str">
        <f>Lubuski!E35</f>
        <v>-</v>
      </c>
      <c r="J34" s="118" t="str">
        <f>Łódzki!E35</f>
        <v>-</v>
      </c>
      <c r="K34" s="118" t="str">
        <f>Małopolski!E35</f>
        <v>-</v>
      </c>
      <c r="L34" s="118" t="str">
        <f>Mazowiecki!E35</f>
        <v>-</v>
      </c>
      <c r="M34" s="118" t="str">
        <f>Opolski!E35</f>
        <v>-</v>
      </c>
      <c r="N34" s="118" t="str">
        <f>Podkarpacki!E35</f>
        <v>-</v>
      </c>
      <c r="O34" s="118" t="str">
        <f>Podlaski!E35</f>
        <v>-</v>
      </c>
      <c r="P34" s="118" t="str">
        <f>Pomorski!E35</f>
        <v>-</v>
      </c>
      <c r="Q34" s="118" t="str">
        <f>Śląski!E35</f>
        <v>-</v>
      </c>
      <c r="R34" s="118" t="str">
        <f>Świętokrzyski!E35</f>
        <v>-</v>
      </c>
      <c r="S34" s="118" t="str">
        <f>WarmińskoMazurski!E35</f>
        <v>-</v>
      </c>
      <c r="T34" s="118" t="str">
        <f>Wielkopolski!E35</f>
        <v>-</v>
      </c>
      <c r="U34" s="118" t="str">
        <f>Zachodniopomorski!E35</f>
        <v>-</v>
      </c>
      <c r="W34" s="142"/>
      <c r="X34" s="142"/>
      <c r="Y34" s="142"/>
      <c r="Z34" s="142"/>
    </row>
    <row r="35" spans="1:26" ht="30" customHeight="1" hidden="1">
      <c r="A35" s="46" t="s">
        <v>47</v>
      </c>
      <c r="B35" s="47" t="s">
        <v>40</v>
      </c>
      <c r="C35" s="47"/>
      <c r="D35" s="118" t="str">
        <f>CENTRALA!E36</f>
        <v>-</v>
      </c>
      <c r="E35" s="118">
        <f t="shared" si="0"/>
        <v>0</v>
      </c>
      <c r="F35" s="118" t="str">
        <f>Dolnośląski!E36</f>
        <v>-</v>
      </c>
      <c r="G35" s="118" t="str">
        <f>KujawskoPomorski!E36</f>
        <v>-</v>
      </c>
      <c r="H35" s="118" t="str">
        <f>Lubelski!E36</f>
        <v>-</v>
      </c>
      <c r="I35" s="118" t="str">
        <f>Lubuski!E36</f>
        <v>-</v>
      </c>
      <c r="J35" s="118" t="str">
        <f>Łódzki!E36</f>
        <v>-</v>
      </c>
      <c r="K35" s="118" t="str">
        <f>Małopolski!E36</f>
        <v>-</v>
      </c>
      <c r="L35" s="118" t="str">
        <f>Mazowiecki!E36</f>
        <v>-</v>
      </c>
      <c r="M35" s="118" t="str">
        <f>Opolski!E36</f>
        <v>-</v>
      </c>
      <c r="N35" s="118" t="str">
        <f>Podkarpacki!E36</f>
        <v>-</v>
      </c>
      <c r="O35" s="118" t="str">
        <f>Podlaski!E36</f>
        <v>-</v>
      </c>
      <c r="P35" s="118" t="str">
        <f>Pomorski!E36</f>
        <v>-</v>
      </c>
      <c r="Q35" s="118" t="str">
        <f>Śląski!E36</f>
        <v>-</v>
      </c>
      <c r="R35" s="118" t="str">
        <f>Świętokrzyski!E36</f>
        <v>-</v>
      </c>
      <c r="S35" s="118" t="str">
        <f>WarmińskoMazurski!E36</f>
        <v>-</v>
      </c>
      <c r="T35" s="118" t="str">
        <f>Wielkopolski!E36</f>
        <v>-</v>
      </c>
      <c r="U35" s="118" t="str">
        <f>Zachodniopomorski!E36</f>
        <v>-</v>
      </c>
      <c r="W35" s="142"/>
      <c r="X35" s="142"/>
      <c r="Y35" s="142"/>
      <c r="Z35" s="142"/>
    </row>
    <row r="36" spans="1:26" ht="30" customHeight="1" hidden="1">
      <c r="A36" s="46" t="s">
        <v>48</v>
      </c>
      <c r="B36" s="47" t="s">
        <v>41</v>
      </c>
      <c r="C36" s="47"/>
      <c r="D36" s="118" t="str">
        <f>CENTRALA!E37</f>
        <v>-</v>
      </c>
      <c r="E36" s="118">
        <f t="shared" si="0"/>
        <v>0</v>
      </c>
      <c r="F36" s="118" t="str">
        <f>Dolnośląski!E37</f>
        <v>-</v>
      </c>
      <c r="G36" s="118" t="str">
        <f>KujawskoPomorski!E37</f>
        <v>-</v>
      </c>
      <c r="H36" s="118" t="str">
        <f>Lubelski!E37</f>
        <v>-</v>
      </c>
      <c r="I36" s="118" t="str">
        <f>Lubuski!E37</f>
        <v>-</v>
      </c>
      <c r="J36" s="118" t="str">
        <f>Łódzki!E37</f>
        <v>-</v>
      </c>
      <c r="K36" s="118" t="str">
        <f>Małopolski!E37</f>
        <v>-</v>
      </c>
      <c r="L36" s="118" t="str">
        <f>Mazowiecki!E37</f>
        <v>-</v>
      </c>
      <c r="M36" s="118" t="str">
        <f>Opolski!E37</f>
        <v>-</v>
      </c>
      <c r="N36" s="118" t="str">
        <f>Podkarpacki!E37</f>
        <v>-</v>
      </c>
      <c r="O36" s="118" t="str">
        <f>Podlaski!E37</f>
        <v>-</v>
      </c>
      <c r="P36" s="118" t="str">
        <f>Pomorski!E37</f>
        <v>-</v>
      </c>
      <c r="Q36" s="118" t="str">
        <f>Śląski!E37</f>
        <v>-</v>
      </c>
      <c r="R36" s="118" t="str">
        <f>Świętokrzyski!E37</f>
        <v>-</v>
      </c>
      <c r="S36" s="118" t="str">
        <f>WarmińskoMazurski!E37</f>
        <v>-</v>
      </c>
      <c r="T36" s="118" t="str">
        <f>Wielkopolski!E37</f>
        <v>-</v>
      </c>
      <c r="U36" s="118" t="str">
        <f>Zachodniopomorski!E37</f>
        <v>-</v>
      </c>
      <c r="W36" s="142"/>
      <c r="X36" s="142"/>
      <c r="Y36" s="142"/>
      <c r="Z36" s="142"/>
    </row>
    <row r="37" spans="1:26" ht="30" customHeight="1" hidden="1">
      <c r="A37" s="46" t="s">
        <v>49</v>
      </c>
      <c r="B37" s="47" t="s">
        <v>42</v>
      </c>
      <c r="C37" s="47"/>
      <c r="D37" s="118" t="str">
        <f>CENTRALA!E38</f>
        <v>-</v>
      </c>
      <c r="E37" s="118">
        <f t="shared" si="0"/>
        <v>0</v>
      </c>
      <c r="F37" s="118" t="str">
        <f>Dolnośląski!E38</f>
        <v>-</v>
      </c>
      <c r="G37" s="118" t="str">
        <f>KujawskoPomorski!E38</f>
        <v>-</v>
      </c>
      <c r="H37" s="118" t="str">
        <f>Lubelski!E38</f>
        <v>-</v>
      </c>
      <c r="I37" s="118" t="str">
        <f>Lubuski!E38</f>
        <v>-</v>
      </c>
      <c r="J37" s="118" t="str">
        <f>Łódzki!E38</f>
        <v>-</v>
      </c>
      <c r="K37" s="118" t="str">
        <f>Małopolski!E38</f>
        <v>-</v>
      </c>
      <c r="L37" s="118" t="str">
        <f>Mazowiecki!E38</f>
        <v>-</v>
      </c>
      <c r="M37" s="118" t="str">
        <f>Opolski!E38</f>
        <v>-</v>
      </c>
      <c r="N37" s="118" t="str">
        <f>Podkarpacki!E38</f>
        <v>-</v>
      </c>
      <c r="O37" s="118" t="str">
        <f>Podlaski!E38</f>
        <v>-</v>
      </c>
      <c r="P37" s="118" t="str">
        <f>Pomorski!E38</f>
        <v>-</v>
      </c>
      <c r="Q37" s="118" t="str">
        <f>Śląski!E38</f>
        <v>-</v>
      </c>
      <c r="R37" s="118" t="str">
        <f>Świętokrzyski!E38</f>
        <v>-</v>
      </c>
      <c r="S37" s="118" t="str">
        <f>WarmińskoMazurski!E38</f>
        <v>-</v>
      </c>
      <c r="T37" s="118" t="str">
        <f>Wielkopolski!E38</f>
        <v>-</v>
      </c>
      <c r="U37" s="118" t="str">
        <f>Zachodniopomorski!E38</f>
        <v>-</v>
      </c>
      <c r="W37" s="142"/>
      <c r="X37" s="142"/>
      <c r="Y37" s="142"/>
      <c r="Z37" s="142"/>
    </row>
    <row r="38" spans="1:26" ht="30" customHeight="1" hidden="1">
      <c r="A38" s="46" t="s">
        <v>50</v>
      </c>
      <c r="B38" s="47" t="s">
        <v>43</v>
      </c>
      <c r="C38" s="47"/>
      <c r="D38" s="118" t="str">
        <f>CENTRALA!E39</f>
        <v>-</v>
      </c>
      <c r="E38" s="118">
        <f t="shared" si="0"/>
        <v>0</v>
      </c>
      <c r="F38" s="118" t="str">
        <f>Dolnośląski!E39</f>
        <v>-</v>
      </c>
      <c r="G38" s="118" t="str">
        <f>KujawskoPomorski!E39</f>
        <v>-</v>
      </c>
      <c r="H38" s="118" t="str">
        <f>Lubelski!E39</f>
        <v>-</v>
      </c>
      <c r="I38" s="118" t="str">
        <f>Lubuski!E39</f>
        <v>-</v>
      </c>
      <c r="J38" s="118" t="str">
        <f>Łódzki!E39</f>
        <v>-</v>
      </c>
      <c r="K38" s="118" t="str">
        <f>Małopolski!E39</f>
        <v>-</v>
      </c>
      <c r="L38" s="118" t="str">
        <f>Mazowiecki!E39</f>
        <v>-</v>
      </c>
      <c r="M38" s="118" t="str">
        <f>Opolski!E39</f>
        <v>-</v>
      </c>
      <c r="N38" s="118" t="str">
        <f>Podkarpacki!E39</f>
        <v>-</v>
      </c>
      <c r="O38" s="118" t="str">
        <f>Podlaski!E39</f>
        <v>-</v>
      </c>
      <c r="P38" s="118" t="str">
        <f>Pomorski!E39</f>
        <v>-</v>
      </c>
      <c r="Q38" s="118" t="str">
        <f>Śląski!E39</f>
        <v>-</v>
      </c>
      <c r="R38" s="118" t="str">
        <f>Świętokrzyski!E39</f>
        <v>-</v>
      </c>
      <c r="S38" s="118" t="str">
        <f>WarmińskoMazurski!E39</f>
        <v>-</v>
      </c>
      <c r="T38" s="118" t="str">
        <f>Wielkopolski!E39</f>
        <v>-</v>
      </c>
      <c r="U38" s="118" t="str">
        <f>Zachodniopomorski!E39</f>
        <v>-</v>
      </c>
      <c r="W38" s="142"/>
      <c r="X38" s="142"/>
      <c r="Y38" s="142"/>
      <c r="Z38" s="142"/>
    </row>
    <row r="39" spans="1:26" ht="30" customHeight="1" hidden="1">
      <c r="A39" s="46" t="s">
        <v>51</v>
      </c>
      <c r="B39" s="47" t="s">
        <v>44</v>
      </c>
      <c r="C39" s="47"/>
      <c r="D39" s="118" t="str">
        <f>CENTRALA!E40</f>
        <v>-</v>
      </c>
      <c r="E39" s="118">
        <f t="shared" si="0"/>
        <v>0</v>
      </c>
      <c r="F39" s="118" t="str">
        <f>Dolnośląski!E40</f>
        <v>-</v>
      </c>
      <c r="G39" s="118" t="str">
        <f>KujawskoPomorski!E40</f>
        <v>-</v>
      </c>
      <c r="H39" s="118" t="str">
        <f>Lubelski!E40</f>
        <v>-</v>
      </c>
      <c r="I39" s="118" t="str">
        <f>Lubuski!E40</f>
        <v>-</v>
      </c>
      <c r="J39" s="118" t="str">
        <f>Łódzki!E40</f>
        <v>-</v>
      </c>
      <c r="K39" s="118" t="str">
        <f>Małopolski!E40</f>
        <v>-</v>
      </c>
      <c r="L39" s="118" t="str">
        <f>Mazowiecki!E40</f>
        <v>-</v>
      </c>
      <c r="M39" s="118" t="str">
        <f>Opolski!E40</f>
        <v>-</v>
      </c>
      <c r="N39" s="118" t="str">
        <f>Podkarpacki!E40</f>
        <v>-</v>
      </c>
      <c r="O39" s="118" t="str">
        <f>Podlaski!E40</f>
        <v>-</v>
      </c>
      <c r="P39" s="118" t="str">
        <f>Pomorski!E40</f>
        <v>-</v>
      </c>
      <c r="Q39" s="118" t="str">
        <f>Śląski!E40</f>
        <v>-</v>
      </c>
      <c r="R39" s="118" t="str">
        <f>Świętokrzyski!E40</f>
        <v>-</v>
      </c>
      <c r="S39" s="118" t="str">
        <f>WarmińskoMazurski!E40</f>
        <v>-</v>
      </c>
      <c r="T39" s="118" t="str">
        <f>Wielkopolski!E40</f>
        <v>-</v>
      </c>
      <c r="U39" s="118" t="str">
        <f>Zachodniopomorski!E40</f>
        <v>-</v>
      </c>
      <c r="W39" s="142"/>
      <c r="X39" s="142"/>
      <c r="Y39" s="142"/>
      <c r="Z39" s="142"/>
    </row>
    <row r="40" spans="1:26" ht="30" customHeight="1" hidden="1">
      <c r="A40" s="35" t="s">
        <v>24</v>
      </c>
      <c r="B40" s="44" t="s">
        <v>25</v>
      </c>
      <c r="C40" s="44"/>
      <c r="D40" s="118">
        <f>CENTRALA!E41</f>
        <v>84</v>
      </c>
      <c r="E40" s="118">
        <f t="shared" si="0"/>
        <v>0</v>
      </c>
      <c r="F40" s="118" t="str">
        <f>Dolnośląski!E41</f>
        <v>-</v>
      </c>
      <c r="G40" s="118" t="str">
        <f>KujawskoPomorski!E41</f>
        <v>-</v>
      </c>
      <c r="H40" s="118" t="str">
        <f>Lubelski!E41</f>
        <v>-</v>
      </c>
      <c r="I40" s="118" t="str">
        <f>Lubuski!E41</f>
        <v>-</v>
      </c>
      <c r="J40" s="118" t="str">
        <f>Łódzki!E41</f>
        <v>-</v>
      </c>
      <c r="K40" s="118" t="str">
        <f>Małopolski!E41</f>
        <v>-</v>
      </c>
      <c r="L40" s="118" t="str">
        <f>Mazowiecki!E41</f>
        <v>-</v>
      </c>
      <c r="M40" s="118" t="str">
        <f>Opolski!E41</f>
        <v>-</v>
      </c>
      <c r="N40" s="118" t="str">
        <f>Podkarpacki!E41</f>
        <v>-</v>
      </c>
      <c r="O40" s="118" t="str">
        <f>Podlaski!E41</f>
        <v>-</v>
      </c>
      <c r="P40" s="118" t="str">
        <f>Pomorski!E41</f>
        <v>-</v>
      </c>
      <c r="Q40" s="118" t="str">
        <f>Śląski!E41</f>
        <v>-</v>
      </c>
      <c r="R40" s="118" t="str">
        <f>Świętokrzyski!E41</f>
        <v>-</v>
      </c>
      <c r="S40" s="118" t="str">
        <f>WarmińskoMazurski!E41</f>
        <v>-</v>
      </c>
      <c r="T40" s="118" t="str">
        <f>Wielkopolski!E41</f>
        <v>-</v>
      </c>
      <c r="U40" s="118" t="str">
        <f>Zachodniopomorski!E41</f>
        <v>-</v>
      </c>
      <c r="W40" s="142"/>
      <c r="X40" s="142"/>
      <c r="Y40" s="142"/>
      <c r="Z40" s="142"/>
    </row>
    <row r="41" spans="1:26" ht="30" customHeight="1" hidden="1">
      <c r="A41" s="35" t="s">
        <v>26</v>
      </c>
      <c r="B41" s="45" t="s">
        <v>61</v>
      </c>
      <c r="C41" s="45"/>
      <c r="D41" s="118">
        <f>CENTRALA!E42</f>
        <v>15</v>
      </c>
      <c r="E41" s="118">
        <f t="shared" si="0"/>
        <v>0</v>
      </c>
      <c r="F41" s="118" t="str">
        <f>Dolnośląski!E42</f>
        <v>-</v>
      </c>
      <c r="G41" s="118" t="str">
        <f>KujawskoPomorski!E42</f>
        <v>-</v>
      </c>
      <c r="H41" s="118" t="str">
        <f>Lubelski!E42</f>
        <v>-</v>
      </c>
      <c r="I41" s="118" t="str">
        <f>Lubuski!E42</f>
        <v>-</v>
      </c>
      <c r="J41" s="118" t="str">
        <f>Łódzki!E42</f>
        <v>-</v>
      </c>
      <c r="K41" s="118" t="str">
        <f>Małopolski!E42</f>
        <v>-</v>
      </c>
      <c r="L41" s="118" t="str">
        <f>Mazowiecki!E42</f>
        <v>-</v>
      </c>
      <c r="M41" s="118" t="str">
        <f>Opolski!E42</f>
        <v>-</v>
      </c>
      <c r="N41" s="118" t="str">
        <f>Podkarpacki!E42</f>
        <v>-</v>
      </c>
      <c r="O41" s="118" t="str">
        <f>Podlaski!E42</f>
        <v>-</v>
      </c>
      <c r="P41" s="118" t="str">
        <f>Pomorski!E42</f>
        <v>-</v>
      </c>
      <c r="Q41" s="118" t="str">
        <f>Śląski!E42</f>
        <v>-</v>
      </c>
      <c r="R41" s="118" t="str">
        <f>Świętokrzyski!E42</f>
        <v>-</v>
      </c>
      <c r="S41" s="118" t="str">
        <f>WarmińskoMazurski!E42</f>
        <v>-</v>
      </c>
      <c r="T41" s="118" t="str">
        <f>Wielkopolski!E42</f>
        <v>-</v>
      </c>
      <c r="U41" s="118" t="str">
        <f>Zachodniopomorski!E42</f>
        <v>-</v>
      </c>
      <c r="W41" s="142"/>
      <c r="X41" s="142"/>
      <c r="Y41" s="142"/>
      <c r="Z41" s="142"/>
    </row>
    <row r="42" spans="1:26" ht="30" customHeight="1" hidden="1">
      <c r="A42" s="46" t="s">
        <v>56</v>
      </c>
      <c r="B42" s="47" t="s">
        <v>52</v>
      </c>
      <c r="C42" s="47"/>
      <c r="D42" s="118">
        <f>CENTRALA!E43</f>
        <v>13</v>
      </c>
      <c r="E42" s="118">
        <f t="shared" si="0"/>
        <v>0</v>
      </c>
      <c r="F42" s="118" t="str">
        <f>Dolnośląski!E43</f>
        <v>-</v>
      </c>
      <c r="G42" s="118" t="str">
        <f>KujawskoPomorski!E43</f>
        <v>-</v>
      </c>
      <c r="H42" s="118" t="str">
        <f>Lubelski!E43</f>
        <v>-</v>
      </c>
      <c r="I42" s="118" t="str">
        <f>Lubuski!E43</f>
        <v>-</v>
      </c>
      <c r="J42" s="118" t="str">
        <f>Łódzki!E43</f>
        <v>-</v>
      </c>
      <c r="K42" s="118" t="str">
        <f>Małopolski!E43</f>
        <v>-</v>
      </c>
      <c r="L42" s="118" t="str">
        <f>Mazowiecki!E43</f>
        <v>-</v>
      </c>
      <c r="M42" s="118" t="str">
        <f>Opolski!E43</f>
        <v>-</v>
      </c>
      <c r="N42" s="118" t="str">
        <f>Podkarpacki!E43</f>
        <v>-</v>
      </c>
      <c r="O42" s="118" t="str">
        <f>Podlaski!E43</f>
        <v>-</v>
      </c>
      <c r="P42" s="118" t="str">
        <f>Pomorski!E43</f>
        <v>-</v>
      </c>
      <c r="Q42" s="118" t="str">
        <f>Śląski!E43</f>
        <v>-</v>
      </c>
      <c r="R42" s="118" t="str">
        <f>Świętokrzyski!E43</f>
        <v>-</v>
      </c>
      <c r="S42" s="118" t="str">
        <f>WarmińskoMazurski!E43</f>
        <v>-</v>
      </c>
      <c r="T42" s="118" t="str">
        <f>Wielkopolski!E43</f>
        <v>-</v>
      </c>
      <c r="U42" s="118" t="str">
        <f>Zachodniopomorski!E43</f>
        <v>-</v>
      </c>
      <c r="W42" s="142"/>
      <c r="X42" s="142"/>
      <c r="Y42" s="142"/>
      <c r="Z42" s="142"/>
    </row>
    <row r="43" spans="1:26" ht="30" customHeight="1" hidden="1">
      <c r="A43" s="46" t="s">
        <v>57</v>
      </c>
      <c r="B43" s="47" t="s">
        <v>53</v>
      </c>
      <c r="C43" s="47"/>
      <c r="D43" s="118">
        <f>CENTRALA!E44</f>
        <v>2</v>
      </c>
      <c r="E43" s="118">
        <f t="shared" si="0"/>
        <v>0</v>
      </c>
      <c r="F43" s="118" t="str">
        <f>Dolnośląski!E44</f>
        <v>-</v>
      </c>
      <c r="G43" s="118" t="str">
        <f>KujawskoPomorski!E44</f>
        <v>-</v>
      </c>
      <c r="H43" s="118" t="str">
        <f>Lubelski!E44</f>
        <v>-</v>
      </c>
      <c r="I43" s="118" t="str">
        <f>Lubuski!E44</f>
        <v>-</v>
      </c>
      <c r="J43" s="118" t="str">
        <f>Łódzki!E44</f>
        <v>-</v>
      </c>
      <c r="K43" s="118" t="str">
        <f>Małopolski!E44</f>
        <v>-</v>
      </c>
      <c r="L43" s="118" t="str">
        <f>Mazowiecki!E44</f>
        <v>-</v>
      </c>
      <c r="M43" s="118" t="str">
        <f>Opolski!E44</f>
        <v>-</v>
      </c>
      <c r="N43" s="118" t="str">
        <f>Podkarpacki!E44</f>
        <v>-</v>
      </c>
      <c r="O43" s="118" t="str">
        <f>Podlaski!E44</f>
        <v>-</v>
      </c>
      <c r="P43" s="118" t="str">
        <f>Pomorski!E44</f>
        <v>-</v>
      </c>
      <c r="Q43" s="118" t="str">
        <f>Śląski!E44</f>
        <v>-</v>
      </c>
      <c r="R43" s="118" t="str">
        <f>Świętokrzyski!E44</f>
        <v>-</v>
      </c>
      <c r="S43" s="118" t="str">
        <f>WarmińskoMazurski!E44</f>
        <v>-</v>
      </c>
      <c r="T43" s="118" t="str">
        <f>Wielkopolski!E44</f>
        <v>-</v>
      </c>
      <c r="U43" s="118" t="str">
        <f>Zachodniopomorski!E44</f>
        <v>-</v>
      </c>
      <c r="W43" s="142"/>
      <c r="X43" s="142"/>
      <c r="Y43" s="142"/>
      <c r="Z43" s="142"/>
    </row>
    <row r="44" spans="1:26" ht="30" customHeight="1" hidden="1">
      <c r="A44" s="46" t="s">
        <v>58</v>
      </c>
      <c r="B44" s="47" t="s">
        <v>54</v>
      </c>
      <c r="C44" s="47"/>
      <c r="D44" s="118" t="str">
        <f>CENTRALA!E45</f>
        <v>-</v>
      </c>
      <c r="E44" s="118">
        <f t="shared" si="0"/>
        <v>0</v>
      </c>
      <c r="F44" s="118" t="str">
        <f>Dolnośląski!E45</f>
        <v>-</v>
      </c>
      <c r="G44" s="118" t="str">
        <f>KujawskoPomorski!E45</f>
        <v>-</v>
      </c>
      <c r="H44" s="118" t="str">
        <f>Lubelski!E45</f>
        <v>-</v>
      </c>
      <c r="I44" s="118" t="str">
        <f>Lubuski!E45</f>
        <v>-</v>
      </c>
      <c r="J44" s="118" t="str">
        <f>Łódzki!E45</f>
        <v>-</v>
      </c>
      <c r="K44" s="118" t="str">
        <f>Małopolski!E45</f>
        <v>-</v>
      </c>
      <c r="L44" s="118" t="str">
        <f>Mazowiecki!E45</f>
        <v>-</v>
      </c>
      <c r="M44" s="118" t="str">
        <f>Opolski!E45</f>
        <v>-</v>
      </c>
      <c r="N44" s="118" t="str">
        <f>Podkarpacki!E45</f>
        <v>-</v>
      </c>
      <c r="O44" s="118" t="str">
        <f>Podlaski!E45</f>
        <v>-</v>
      </c>
      <c r="P44" s="118" t="str">
        <f>Pomorski!E45</f>
        <v>-</v>
      </c>
      <c r="Q44" s="118" t="str">
        <f>Śląski!E45</f>
        <v>-</v>
      </c>
      <c r="R44" s="118" t="str">
        <f>Świętokrzyski!E45</f>
        <v>-</v>
      </c>
      <c r="S44" s="118" t="str">
        <f>WarmińskoMazurski!E45</f>
        <v>-</v>
      </c>
      <c r="T44" s="118" t="str">
        <f>Wielkopolski!E45</f>
        <v>-</v>
      </c>
      <c r="U44" s="118" t="str">
        <f>Zachodniopomorski!E45</f>
        <v>-</v>
      </c>
      <c r="W44" s="142"/>
      <c r="X44" s="142"/>
      <c r="Y44" s="142"/>
      <c r="Z44" s="142"/>
    </row>
    <row r="45" spans="1:26" ht="30" customHeight="1" hidden="1">
      <c r="A45" s="46" t="s">
        <v>59</v>
      </c>
      <c r="B45" s="47" t="s">
        <v>55</v>
      </c>
      <c r="C45" s="47"/>
      <c r="D45" s="118" t="str">
        <f>CENTRALA!E46</f>
        <v>-</v>
      </c>
      <c r="E45" s="118">
        <f t="shared" si="0"/>
        <v>0</v>
      </c>
      <c r="F45" s="118" t="str">
        <f>Dolnośląski!E46</f>
        <v>-</v>
      </c>
      <c r="G45" s="118" t="str">
        <f>KujawskoPomorski!E46</f>
        <v>-</v>
      </c>
      <c r="H45" s="118" t="str">
        <f>Lubelski!E46</f>
        <v>-</v>
      </c>
      <c r="I45" s="118" t="str">
        <f>Lubuski!E46</f>
        <v>-</v>
      </c>
      <c r="J45" s="118" t="str">
        <f>Łódzki!E46</f>
        <v>-</v>
      </c>
      <c r="K45" s="118" t="str">
        <f>Małopolski!E46</f>
        <v>-</v>
      </c>
      <c r="L45" s="118" t="str">
        <f>Mazowiecki!E46</f>
        <v>-</v>
      </c>
      <c r="M45" s="118" t="str">
        <f>Opolski!E46</f>
        <v>-</v>
      </c>
      <c r="N45" s="118" t="str">
        <f>Podkarpacki!E46</f>
        <v>-</v>
      </c>
      <c r="O45" s="118" t="str">
        <f>Podlaski!E46</f>
        <v>-</v>
      </c>
      <c r="P45" s="118" t="str">
        <f>Pomorski!E46</f>
        <v>-</v>
      </c>
      <c r="Q45" s="118" t="str">
        <f>Śląski!E46</f>
        <v>-</v>
      </c>
      <c r="R45" s="118" t="str">
        <f>Świętokrzyski!E46</f>
        <v>-</v>
      </c>
      <c r="S45" s="118" t="str">
        <f>WarmińskoMazurski!E46</f>
        <v>-</v>
      </c>
      <c r="T45" s="118" t="str">
        <f>Wielkopolski!E46</f>
        <v>-</v>
      </c>
      <c r="U45" s="118" t="str">
        <f>Zachodniopomorski!E46</f>
        <v>-</v>
      </c>
      <c r="W45" s="142"/>
      <c r="X45" s="142"/>
      <c r="Y45" s="142"/>
      <c r="Z45" s="142"/>
    </row>
    <row r="46" spans="1:26" ht="30" customHeight="1" hidden="1">
      <c r="A46" s="35" t="s">
        <v>27</v>
      </c>
      <c r="B46" s="44" t="s">
        <v>28</v>
      </c>
      <c r="C46" s="44"/>
      <c r="D46" s="118" t="str">
        <f>CENTRALA!E47</f>
        <v>-</v>
      </c>
      <c r="E46" s="118">
        <f t="shared" si="0"/>
        <v>0</v>
      </c>
      <c r="F46" s="118" t="str">
        <f>Dolnośląski!E47</f>
        <v>-</v>
      </c>
      <c r="G46" s="118" t="str">
        <f>KujawskoPomorski!E47</f>
        <v>-</v>
      </c>
      <c r="H46" s="118" t="str">
        <f>Lubelski!E47</f>
        <v>-</v>
      </c>
      <c r="I46" s="118" t="str">
        <f>Lubuski!E47</f>
        <v>-</v>
      </c>
      <c r="J46" s="118" t="str">
        <f>Łódzki!E47</f>
        <v>-</v>
      </c>
      <c r="K46" s="118" t="str">
        <f>Małopolski!E47</f>
        <v>-</v>
      </c>
      <c r="L46" s="118" t="str">
        <f>Mazowiecki!E47</f>
        <v>-</v>
      </c>
      <c r="M46" s="118" t="str">
        <f>Opolski!E47</f>
        <v>-</v>
      </c>
      <c r="N46" s="118" t="str">
        <f>Podkarpacki!E47</f>
        <v>-</v>
      </c>
      <c r="O46" s="118" t="str">
        <f>Podlaski!E47</f>
        <v>-</v>
      </c>
      <c r="P46" s="118" t="str">
        <f>Pomorski!E47</f>
        <v>-</v>
      </c>
      <c r="Q46" s="118" t="str">
        <f>Śląski!E47</f>
        <v>-</v>
      </c>
      <c r="R46" s="118" t="str">
        <f>Świętokrzyski!E47</f>
        <v>-</v>
      </c>
      <c r="S46" s="118" t="str">
        <f>WarmińskoMazurski!E47</f>
        <v>-</v>
      </c>
      <c r="T46" s="118" t="str">
        <f>Wielkopolski!E47</f>
        <v>-</v>
      </c>
      <c r="U46" s="118" t="str">
        <f>Zachodniopomorski!E47</f>
        <v>-</v>
      </c>
      <c r="W46" s="142"/>
      <c r="X46" s="142"/>
      <c r="Y46" s="142"/>
      <c r="Z46" s="142"/>
    </row>
    <row r="47" spans="1:26" ht="41.25" customHeight="1" hidden="1">
      <c r="A47" s="35" t="s">
        <v>29</v>
      </c>
      <c r="B47" s="44" t="s">
        <v>114</v>
      </c>
      <c r="C47" s="44"/>
      <c r="D47" s="118" t="str">
        <f>CENTRALA!E48</f>
        <v>-</v>
      </c>
      <c r="E47" s="118">
        <f>SUM(F47:U47)</f>
        <v>0</v>
      </c>
      <c r="F47" s="118" t="str">
        <f>Dolnośląski!E48</f>
        <v>-</v>
      </c>
      <c r="G47" s="118" t="str">
        <f>KujawskoPomorski!E48</f>
        <v>-</v>
      </c>
      <c r="H47" s="118" t="str">
        <f>Lubelski!E48</f>
        <v>-</v>
      </c>
      <c r="I47" s="118" t="str">
        <f>Lubuski!E48</f>
        <v>-</v>
      </c>
      <c r="J47" s="118" t="str">
        <f>Łódzki!E48</f>
        <v>-</v>
      </c>
      <c r="K47" s="118" t="str">
        <f>Małopolski!E48</f>
        <v>-</v>
      </c>
      <c r="L47" s="118" t="str">
        <f>Mazowiecki!E48</f>
        <v>-</v>
      </c>
      <c r="M47" s="118" t="str">
        <f>Opolski!E48</f>
        <v>-</v>
      </c>
      <c r="N47" s="118" t="str">
        <f>Podkarpacki!E48</f>
        <v>-</v>
      </c>
      <c r="O47" s="118" t="str">
        <f>Podlaski!E48</f>
        <v>-</v>
      </c>
      <c r="P47" s="118" t="str">
        <f>Pomorski!E48</f>
        <v>-</v>
      </c>
      <c r="Q47" s="118" t="str">
        <f>Śląski!E48</f>
        <v>-</v>
      </c>
      <c r="R47" s="118" t="str">
        <f>Świętokrzyski!E48</f>
        <v>-</v>
      </c>
      <c r="S47" s="118" t="str">
        <f>WarmińskoMazurski!E48</f>
        <v>-</v>
      </c>
      <c r="T47" s="118" t="str">
        <f>Wielkopolski!E48</f>
        <v>-</v>
      </c>
      <c r="U47" s="118" t="str">
        <f>Zachodniopomorski!E48</f>
        <v>-</v>
      </c>
      <c r="W47" s="142"/>
      <c r="X47" s="142"/>
      <c r="Y47" s="142"/>
      <c r="Z47" s="142"/>
    </row>
    <row r="48" spans="1:26" ht="41.25" customHeight="1" hidden="1">
      <c r="A48" s="35" t="s">
        <v>30</v>
      </c>
      <c r="B48" s="44" t="s">
        <v>31</v>
      </c>
      <c r="C48" s="44"/>
      <c r="D48" s="118" t="str">
        <f>CENTRALA!E49</f>
        <v>-</v>
      </c>
      <c r="E48" s="118">
        <f t="shared" si="0"/>
        <v>0</v>
      </c>
      <c r="F48" s="118" t="str">
        <f>Dolnośląski!E49</f>
        <v>-</v>
      </c>
      <c r="G48" s="118" t="str">
        <f>KujawskoPomorski!E49</f>
        <v>-</v>
      </c>
      <c r="H48" s="118" t="str">
        <f>Lubelski!E49</f>
        <v>-</v>
      </c>
      <c r="I48" s="118" t="str">
        <f>Lubuski!E49</f>
        <v>-</v>
      </c>
      <c r="J48" s="118" t="str">
        <f>Łódzki!E49</f>
        <v>-</v>
      </c>
      <c r="K48" s="118" t="str">
        <f>Małopolski!E49</f>
        <v>-</v>
      </c>
      <c r="L48" s="118" t="str">
        <f>Mazowiecki!E49</f>
        <v>-</v>
      </c>
      <c r="M48" s="118" t="str">
        <f>Opolski!E49</f>
        <v>-</v>
      </c>
      <c r="N48" s="118" t="str">
        <f>Podkarpacki!E49</f>
        <v>-</v>
      </c>
      <c r="O48" s="118" t="str">
        <f>Podlaski!E49</f>
        <v>-</v>
      </c>
      <c r="P48" s="118" t="str">
        <f>Pomorski!E49</f>
        <v>-</v>
      </c>
      <c r="Q48" s="118" t="str">
        <f>Śląski!E49</f>
        <v>-</v>
      </c>
      <c r="R48" s="118" t="str">
        <f>Świętokrzyski!E49</f>
        <v>-</v>
      </c>
      <c r="S48" s="118" t="str">
        <f>WarmińskoMazurski!E49</f>
        <v>-</v>
      </c>
      <c r="T48" s="118" t="str">
        <f>Wielkopolski!E49</f>
        <v>-</v>
      </c>
      <c r="U48" s="118" t="str">
        <f>Zachodniopomorski!E49</f>
        <v>-</v>
      </c>
      <c r="W48" s="142"/>
      <c r="X48" s="142"/>
      <c r="Y48" s="142"/>
      <c r="Z48" s="142"/>
    </row>
    <row r="49" spans="1:26" ht="30" customHeight="1" hidden="1">
      <c r="A49" s="35" t="s">
        <v>32</v>
      </c>
      <c r="B49" s="44" t="s">
        <v>33</v>
      </c>
      <c r="C49" s="44"/>
      <c r="D49" s="118">
        <f>CENTRALA!E50</f>
        <v>16</v>
      </c>
      <c r="E49" s="118">
        <f t="shared" si="0"/>
        <v>0</v>
      </c>
      <c r="F49" s="118" t="str">
        <f>Dolnośląski!E50</f>
        <v>-</v>
      </c>
      <c r="G49" s="118" t="str">
        <f>KujawskoPomorski!E50</f>
        <v>-</v>
      </c>
      <c r="H49" s="118" t="str">
        <f>Lubelski!E50</f>
        <v>-</v>
      </c>
      <c r="I49" s="118" t="str">
        <f>Lubuski!E50</f>
        <v>-</v>
      </c>
      <c r="J49" s="118" t="str">
        <f>Łódzki!E50</f>
        <v>-</v>
      </c>
      <c r="K49" s="118" t="str">
        <f>Małopolski!E50</f>
        <v>-</v>
      </c>
      <c r="L49" s="118" t="str">
        <f>Mazowiecki!E50</f>
        <v>-</v>
      </c>
      <c r="M49" s="118" t="str">
        <f>Opolski!E50</f>
        <v>-</v>
      </c>
      <c r="N49" s="118" t="str">
        <f>Podkarpacki!E50</f>
        <v>-</v>
      </c>
      <c r="O49" s="118" t="str">
        <f>Podlaski!E50</f>
        <v>-</v>
      </c>
      <c r="P49" s="118" t="str">
        <f>Pomorski!E50</f>
        <v>-</v>
      </c>
      <c r="Q49" s="118" t="str">
        <f>Śląski!E50</f>
        <v>-</v>
      </c>
      <c r="R49" s="118" t="str">
        <f>Świętokrzyski!E50</f>
        <v>-</v>
      </c>
      <c r="S49" s="118" t="str">
        <f>WarmińskoMazurski!E50</f>
        <v>-</v>
      </c>
      <c r="T49" s="118" t="str">
        <f>Wielkopolski!E50</f>
        <v>-</v>
      </c>
      <c r="U49" s="118" t="str">
        <f>Zachodniopomorski!E50</f>
        <v>-</v>
      </c>
      <c r="W49" s="142"/>
      <c r="X49" s="142"/>
      <c r="Y49" s="142"/>
      <c r="Z49" s="142"/>
    </row>
    <row r="50" spans="1:26" ht="30" customHeight="1">
      <c r="A50" s="37" t="s">
        <v>34</v>
      </c>
      <c r="B50" s="49" t="s">
        <v>168</v>
      </c>
      <c r="C50" s="148">
        <f>D50+E50</f>
        <v>33108</v>
      </c>
      <c r="D50" s="148">
        <f>CENTRALA!E51</f>
        <v>1200</v>
      </c>
      <c r="E50" s="148">
        <f>SUM(F50:U50)</f>
        <v>31908</v>
      </c>
      <c r="F50" s="148">
        <f>Dolnośląski!E51</f>
        <v>-7241</v>
      </c>
      <c r="G50" s="148">
        <f>KujawskoPomorski!E51</f>
        <v>26544</v>
      </c>
      <c r="H50" s="148">
        <f>Lubelski!E51</f>
        <v>9000</v>
      </c>
      <c r="I50" s="148">
        <f>Lubuski!E51</f>
        <v>-144</v>
      </c>
      <c r="J50" s="148">
        <f>Łódzki!E51</f>
        <v>-9666</v>
      </c>
      <c r="K50" s="148">
        <f>Małopolski!E51</f>
        <v>-7990</v>
      </c>
      <c r="L50" s="148">
        <f>Mazowiecki!E51</f>
        <v>-83</v>
      </c>
      <c r="M50" s="148">
        <f>Opolski!E51</f>
        <v>9389</v>
      </c>
      <c r="N50" s="148" t="str">
        <f>Podkarpacki!E51</f>
        <v>-</v>
      </c>
      <c r="O50" s="148">
        <f>Podlaski!E51</f>
        <v>-2477</v>
      </c>
      <c r="P50" s="148">
        <f>Pomorski!E51</f>
        <v>-297</v>
      </c>
      <c r="Q50" s="148">
        <f>Śląski!E51</f>
        <v>-1333</v>
      </c>
      <c r="R50" s="148">
        <f>Świętokrzyski!E51</f>
        <v>10062</v>
      </c>
      <c r="S50" s="148">
        <f>WarmińskoMazurski!E51</f>
        <v>8763</v>
      </c>
      <c r="T50" s="148" t="str">
        <f>Wielkopolski!E51</f>
        <v>-</v>
      </c>
      <c r="U50" s="148">
        <f>Zachodniopomorski!E51</f>
        <v>-2619</v>
      </c>
      <c r="W50" s="142"/>
      <c r="X50" s="142"/>
      <c r="Y50" s="142"/>
      <c r="Z50" s="142"/>
    </row>
    <row r="51" spans="1:26" ht="46.5" customHeight="1">
      <c r="A51" s="35" t="s">
        <v>118</v>
      </c>
      <c r="B51" s="44" t="s">
        <v>143</v>
      </c>
      <c r="C51" s="118">
        <f>E51</f>
        <v>-1569</v>
      </c>
      <c r="D51" s="118" t="str">
        <f>CENTRALA!E52</f>
        <v>-</v>
      </c>
      <c r="E51" s="118">
        <f t="shared" si="0"/>
        <v>-1569</v>
      </c>
      <c r="F51" s="118" t="str">
        <f>Dolnośląski!E52</f>
        <v>-</v>
      </c>
      <c r="G51" s="118" t="str">
        <f>KujawskoPomorski!E52</f>
        <v>-</v>
      </c>
      <c r="H51" s="118" t="str">
        <f>Lubelski!E52</f>
        <v>-</v>
      </c>
      <c r="I51" s="118">
        <f>Lubuski!E52</f>
        <v>-94</v>
      </c>
      <c r="J51" s="118">
        <f>Łódzki!E52</f>
        <v>-6</v>
      </c>
      <c r="K51" s="118" t="str">
        <f>Małopolski!E52</f>
        <v>-</v>
      </c>
      <c r="L51" s="118">
        <f>Mazowiecki!E52</f>
        <v>-83</v>
      </c>
      <c r="M51" s="118" t="str">
        <f>Opolski!E52</f>
        <v>-</v>
      </c>
      <c r="N51" s="118">
        <f>Podkarpacki!E52</f>
        <v>-59</v>
      </c>
      <c r="O51" s="118" t="str">
        <f>Podlaski!E52</f>
        <v>-</v>
      </c>
      <c r="P51" s="118" t="str">
        <f>Pomorski!E52</f>
        <v>-</v>
      </c>
      <c r="Q51" s="118" t="str">
        <f>Śląski!E52</f>
        <v>-</v>
      </c>
      <c r="R51" s="118">
        <f>Świętokrzyski!E52</f>
        <v>-2</v>
      </c>
      <c r="S51" s="118">
        <f>WarmińskoMazurski!E52</f>
        <v>-90</v>
      </c>
      <c r="T51" s="118">
        <f>Wielkopolski!E52</f>
        <v>-1225</v>
      </c>
      <c r="U51" s="118">
        <f>Zachodniopomorski!E52</f>
        <v>-10</v>
      </c>
      <c r="W51" s="142"/>
      <c r="X51" s="142"/>
      <c r="Y51" s="142"/>
      <c r="Z51" s="142"/>
    </row>
    <row r="52" spans="1:26" ht="30" customHeight="1">
      <c r="A52" s="35" t="s">
        <v>35</v>
      </c>
      <c r="B52" s="44" t="s">
        <v>63</v>
      </c>
      <c r="C52" s="118">
        <f>D52+E52</f>
        <v>30859</v>
      </c>
      <c r="D52" s="118">
        <f>CENTRALA!E53</f>
        <v>1200</v>
      </c>
      <c r="E52" s="118">
        <f t="shared" si="0"/>
        <v>29659</v>
      </c>
      <c r="F52" s="118">
        <f>Dolnośląski!E53</f>
        <v>-7341</v>
      </c>
      <c r="G52" s="118">
        <f>KujawskoPomorski!E53</f>
        <v>26503</v>
      </c>
      <c r="H52" s="118">
        <f>Lubelski!E53</f>
        <v>9000</v>
      </c>
      <c r="I52" s="118">
        <f>Lubuski!E53</f>
        <v>-50</v>
      </c>
      <c r="J52" s="118">
        <f>Łódzki!E53</f>
        <v>-9660</v>
      </c>
      <c r="K52" s="118">
        <f>Małopolski!E53</f>
        <v>-7990</v>
      </c>
      <c r="L52" s="118" t="str">
        <f>Mazowiecki!E53</f>
        <v>-</v>
      </c>
      <c r="M52" s="118">
        <f>Opolski!E53</f>
        <v>8989</v>
      </c>
      <c r="N52" s="118" t="str">
        <f>Podkarpacki!E53</f>
        <v>-</v>
      </c>
      <c r="O52" s="118">
        <f>Podlaski!E53</f>
        <v>-5392</v>
      </c>
      <c r="P52" s="118">
        <f>Pomorski!E53</f>
        <v>803</v>
      </c>
      <c r="Q52" s="118">
        <f>Śląski!E53</f>
        <v>-1333</v>
      </c>
      <c r="R52" s="118">
        <f>Świętokrzyski!E53</f>
        <v>10064</v>
      </c>
      <c r="S52" s="118">
        <f>WarmińskoMazurski!E53</f>
        <v>7474</v>
      </c>
      <c r="T52" s="118">
        <f>Wielkopolski!E53</f>
        <v>1225</v>
      </c>
      <c r="U52" s="118">
        <f>Zachodniopomorski!E53</f>
        <v>-2633</v>
      </c>
      <c r="W52" s="142"/>
      <c r="X52" s="142"/>
      <c r="Y52" s="142"/>
      <c r="Z52" s="142"/>
    </row>
    <row r="53" spans="1:26" ht="30" customHeight="1">
      <c r="A53" s="35" t="s">
        <v>36</v>
      </c>
      <c r="B53" s="44" t="s">
        <v>120</v>
      </c>
      <c r="C53" s="118">
        <f>E53</f>
        <v>0</v>
      </c>
      <c r="D53" s="118" t="str">
        <f>CENTRALA!E54</f>
        <v>-</v>
      </c>
      <c r="E53" s="118">
        <f t="shared" si="0"/>
        <v>0</v>
      </c>
      <c r="F53" s="118" t="str">
        <f>Dolnośląski!E54</f>
        <v>-</v>
      </c>
      <c r="G53" s="118" t="str">
        <f>KujawskoPomorski!E54</f>
        <v>-</v>
      </c>
      <c r="H53" s="118" t="str">
        <f>Lubelski!E54</f>
        <v>-</v>
      </c>
      <c r="I53" s="118" t="str">
        <f>Lubuski!E54</f>
        <v>-</v>
      </c>
      <c r="J53" s="118" t="str">
        <f>Łódzki!E54</f>
        <v>-</v>
      </c>
      <c r="K53" s="118" t="str">
        <f>Małopolski!E54</f>
        <v>-</v>
      </c>
      <c r="L53" s="118" t="str">
        <f>Mazowiecki!E54</f>
        <v>-</v>
      </c>
      <c r="M53" s="118" t="str">
        <f>Opolski!E54</f>
        <v>-</v>
      </c>
      <c r="N53" s="118" t="str">
        <f>Podkarpacki!E54</f>
        <v>-</v>
      </c>
      <c r="O53" s="118" t="str">
        <f>Podlaski!E54</f>
        <v>-</v>
      </c>
      <c r="P53" s="118" t="str">
        <f>Pomorski!E54</f>
        <v>-</v>
      </c>
      <c r="Q53" s="118" t="str">
        <f>Śląski!E54</f>
        <v>-</v>
      </c>
      <c r="R53" s="118" t="str">
        <f>Świętokrzyski!E54</f>
        <v>-</v>
      </c>
      <c r="S53" s="118" t="str">
        <f>WarmińskoMazurski!E54</f>
        <v>-</v>
      </c>
      <c r="T53" s="118" t="str">
        <f>Wielkopolski!E54</f>
        <v>-</v>
      </c>
      <c r="U53" s="118" t="str">
        <f>Zachodniopomorski!E54</f>
        <v>-</v>
      </c>
      <c r="W53" s="142"/>
      <c r="X53" s="142"/>
      <c r="Y53" s="142"/>
      <c r="Z53" s="142"/>
    </row>
    <row r="54" spans="1:26" ht="30" customHeight="1">
      <c r="A54" s="35" t="s">
        <v>119</v>
      </c>
      <c r="B54" s="44" t="s">
        <v>121</v>
      </c>
      <c r="C54" s="118">
        <f>E54</f>
        <v>3818</v>
      </c>
      <c r="D54" s="118" t="str">
        <f>CENTRALA!E55</f>
        <v>-</v>
      </c>
      <c r="E54" s="118">
        <f>SUM(F54:U54)</f>
        <v>3818</v>
      </c>
      <c r="F54" s="118">
        <f>Dolnośląski!E55</f>
        <v>100</v>
      </c>
      <c r="G54" s="118">
        <f>KujawskoPomorski!E55</f>
        <v>41</v>
      </c>
      <c r="H54" s="118" t="str">
        <f>Lubelski!E55</f>
        <v>-</v>
      </c>
      <c r="I54" s="118" t="str">
        <f>Lubuski!E55</f>
        <v>-</v>
      </c>
      <c r="J54" s="118" t="str">
        <f>Łódzki!E55</f>
        <v>-</v>
      </c>
      <c r="K54" s="118" t="str">
        <f>Małopolski!E55</f>
        <v>-</v>
      </c>
      <c r="L54" s="118" t="str">
        <f>Mazowiecki!E55</f>
        <v>-</v>
      </c>
      <c r="M54" s="118">
        <f>Opolski!E55</f>
        <v>400</v>
      </c>
      <c r="N54" s="118">
        <f>Podkarpacki!E55</f>
        <v>59</v>
      </c>
      <c r="O54" s="118">
        <f>Podlaski!E55</f>
        <v>2915</v>
      </c>
      <c r="P54" s="118">
        <f>Pomorski!E55</f>
        <v>-1100</v>
      </c>
      <c r="Q54" s="118" t="str">
        <f>Śląski!E55</f>
        <v>-</v>
      </c>
      <c r="R54" s="118" t="str">
        <f>Świętokrzyski!E55</f>
        <v>-</v>
      </c>
      <c r="S54" s="118">
        <f>WarmińskoMazurski!E55</f>
        <v>1379</v>
      </c>
      <c r="T54" s="118" t="str">
        <f>Wielkopolski!E55</f>
        <v>-</v>
      </c>
      <c r="U54" s="118">
        <f>Zachodniopomorski!E55</f>
        <v>24</v>
      </c>
      <c r="W54" s="142"/>
      <c r="X54" s="142"/>
      <c r="Y54" s="142"/>
      <c r="Z54" s="142"/>
    </row>
    <row r="55" spans="1:26" ht="20.25" customHeight="1">
      <c r="A55" s="37" t="s">
        <v>126</v>
      </c>
      <c r="B55" s="49" t="s">
        <v>154</v>
      </c>
      <c r="C55" s="117">
        <f>E55</f>
        <v>32556</v>
      </c>
      <c r="D55" s="117" t="str">
        <f>CENTRALA!E56</f>
        <v>-</v>
      </c>
      <c r="E55" s="117">
        <f>SUM(F55:U55)</f>
        <v>32556</v>
      </c>
      <c r="F55" s="117">
        <f>Dolnośląski!E56</f>
        <v>956</v>
      </c>
      <c r="G55" s="117">
        <f>KujawskoPomorski!E56</f>
        <v>23732</v>
      </c>
      <c r="H55" s="117">
        <f>Lubelski!E56</f>
        <v>-9000</v>
      </c>
      <c r="I55" s="117">
        <f>Lubuski!E56</f>
        <v>50</v>
      </c>
      <c r="J55" s="117">
        <f>Łódzki!E56</f>
        <v>220</v>
      </c>
      <c r="K55" s="117">
        <f>Małopolski!E56</f>
        <v>4779</v>
      </c>
      <c r="L55" s="117">
        <f>Mazowiecki!E56</f>
        <v>8605</v>
      </c>
      <c r="M55" s="117">
        <f>Opolski!E56</f>
        <v>2204</v>
      </c>
      <c r="N55" s="117" t="str">
        <f>Podkarpacki!E56</f>
        <v>-</v>
      </c>
      <c r="O55" s="117">
        <f>Podlaski!E56</f>
        <v>665</v>
      </c>
      <c r="P55" s="117">
        <f>Pomorski!E56</f>
        <v>536</v>
      </c>
      <c r="Q55" s="117">
        <f>Śląski!E56</f>
        <v>-208</v>
      </c>
      <c r="R55" s="117" t="str">
        <f>Świętokrzyski!E56</f>
        <v>-</v>
      </c>
      <c r="S55" s="117" t="str">
        <f>WarmińskoMazurski!E56</f>
        <v>-</v>
      </c>
      <c r="T55" s="117" t="str">
        <f>Wielkopolski!E56</f>
        <v>-</v>
      </c>
      <c r="U55" s="117">
        <f>Zachodniopomorski!E56</f>
        <v>17</v>
      </c>
      <c r="W55" s="142"/>
      <c r="X55" s="142"/>
      <c r="Y55" s="142"/>
      <c r="Z55" s="142"/>
    </row>
    <row r="56" spans="4:26" ht="30" customHeight="1">
      <c r="D56" s="2"/>
      <c r="H56" s="2"/>
      <c r="I56" s="2"/>
      <c r="J56" s="2"/>
      <c r="K56" s="2"/>
      <c r="W56" s="142"/>
      <c r="X56" s="142"/>
      <c r="Y56" s="142"/>
      <c r="Z56" s="142"/>
    </row>
    <row r="57" spans="4:26" ht="30.75">
      <c r="D57" s="2"/>
      <c r="H57" s="2"/>
      <c r="I57" s="2"/>
      <c r="J57" s="2"/>
      <c r="K57" s="2"/>
      <c r="W57" s="142"/>
      <c r="X57" s="142"/>
      <c r="Y57" s="142"/>
      <c r="Z57" s="142"/>
    </row>
    <row r="58" spans="4:26" ht="30.75">
      <c r="D58" s="2"/>
      <c r="H58" s="2"/>
      <c r="I58" s="2"/>
      <c r="J58" s="2"/>
      <c r="K58" s="2"/>
      <c r="W58" s="142"/>
      <c r="X58" s="142"/>
      <c r="Y58" s="142"/>
      <c r="Z58" s="142"/>
    </row>
    <row r="59" spans="4:26" ht="30.75">
      <c r="D59" s="2"/>
      <c r="H59" s="2"/>
      <c r="I59" s="2"/>
      <c r="J59" s="2"/>
      <c r="K59" s="2"/>
      <c r="W59" s="142"/>
      <c r="X59" s="142"/>
      <c r="Y59" s="142"/>
      <c r="Z59" s="142"/>
    </row>
    <row r="60" spans="4:26" ht="30.75">
      <c r="D60" s="2"/>
      <c r="H60" s="2"/>
      <c r="I60" s="2"/>
      <c r="J60" s="2"/>
      <c r="K60" s="2"/>
      <c r="W60" s="142"/>
      <c r="X60" s="142"/>
      <c r="Y60" s="142"/>
      <c r="Z60" s="142"/>
    </row>
    <row r="61" spans="4:26" ht="30.75">
      <c r="D61" s="2"/>
      <c r="H61" s="2"/>
      <c r="I61" s="2"/>
      <c r="J61" s="2"/>
      <c r="K61" s="2"/>
      <c r="W61" s="142"/>
      <c r="X61" s="142"/>
      <c r="Y61" s="142"/>
      <c r="Z61" s="142"/>
    </row>
    <row r="62" spans="4:26" ht="30.75">
      <c r="D62" s="2"/>
      <c r="H62" s="2"/>
      <c r="I62" s="2"/>
      <c r="J62" s="2"/>
      <c r="K62" s="2"/>
      <c r="W62" s="142"/>
      <c r="X62" s="142"/>
      <c r="Y62" s="142"/>
      <c r="Z62" s="142"/>
    </row>
    <row r="63" spans="4:26" ht="30.75">
      <c r="D63" s="2"/>
      <c r="H63" s="2"/>
      <c r="I63" s="2"/>
      <c r="J63" s="2"/>
      <c r="K63" s="2"/>
      <c r="W63" s="142"/>
      <c r="X63" s="142"/>
      <c r="Y63" s="142"/>
      <c r="Z63" s="142"/>
    </row>
    <row r="64" spans="4:26" ht="30.75">
      <c r="D64" s="2"/>
      <c r="H64" s="2"/>
      <c r="I64" s="2"/>
      <c r="J64" s="2"/>
      <c r="K64" s="2"/>
      <c r="W64" s="142"/>
      <c r="X64" s="142"/>
      <c r="Y64" s="142"/>
      <c r="Z64" s="142"/>
    </row>
    <row r="65" spans="4:26" ht="30.75">
      <c r="D65" s="2"/>
      <c r="H65" s="2"/>
      <c r="I65" s="2"/>
      <c r="J65" s="2"/>
      <c r="K65" s="2"/>
      <c r="W65" s="142"/>
      <c r="X65" s="142"/>
      <c r="Y65" s="142"/>
      <c r="Z65" s="142"/>
    </row>
    <row r="66" spans="4:26" ht="30.75">
      <c r="D66" s="2"/>
      <c r="H66" s="2"/>
      <c r="I66" s="2"/>
      <c r="J66" s="2"/>
      <c r="K66" s="2"/>
      <c r="W66" s="142"/>
      <c r="X66" s="142"/>
      <c r="Y66" s="142"/>
      <c r="Z66" s="142"/>
    </row>
    <row r="67" spans="4:26" ht="30.75">
      <c r="D67" s="2"/>
      <c r="H67" s="2"/>
      <c r="I67" s="2"/>
      <c r="J67" s="2"/>
      <c r="K67" s="2"/>
      <c r="W67" s="142"/>
      <c r="X67" s="142"/>
      <c r="Y67" s="142"/>
      <c r="Z67" s="142"/>
    </row>
    <row r="68" spans="4:26" ht="30.75">
      <c r="D68" s="2"/>
      <c r="H68" s="2"/>
      <c r="I68" s="2"/>
      <c r="J68" s="2"/>
      <c r="K68" s="2"/>
      <c r="W68" s="142"/>
      <c r="X68" s="142"/>
      <c r="Y68" s="142"/>
      <c r="Z68" s="142"/>
    </row>
    <row r="69" spans="4:26" ht="30.75">
      <c r="D69" s="2"/>
      <c r="H69" s="2"/>
      <c r="I69" s="2"/>
      <c r="J69" s="2"/>
      <c r="K69" s="2"/>
      <c r="W69" s="142"/>
      <c r="X69" s="142"/>
      <c r="Y69" s="142"/>
      <c r="Z69" s="142"/>
    </row>
    <row r="70" spans="4:26" ht="30.75">
      <c r="D70" s="2"/>
      <c r="H70" s="2"/>
      <c r="I70" s="2"/>
      <c r="J70" s="2"/>
      <c r="K70" s="2"/>
      <c r="W70" s="142"/>
      <c r="X70" s="142"/>
      <c r="Y70" s="142"/>
      <c r="Z70" s="142"/>
    </row>
    <row r="71" spans="4:26" ht="30.75">
      <c r="D71" s="2"/>
      <c r="H71" s="2"/>
      <c r="I71" s="2"/>
      <c r="J71" s="2"/>
      <c r="K71" s="2"/>
      <c r="W71" s="142"/>
      <c r="X71" s="142"/>
      <c r="Y71" s="142"/>
      <c r="Z71" s="142"/>
    </row>
    <row r="72" spans="4:26" ht="30.75">
      <c r="D72" s="2"/>
      <c r="H72" s="2"/>
      <c r="I72" s="2"/>
      <c r="J72" s="2"/>
      <c r="K72" s="2"/>
      <c r="W72" s="142"/>
      <c r="X72" s="142"/>
      <c r="Y72" s="142"/>
      <c r="Z72" s="142"/>
    </row>
    <row r="73" spans="4:26" ht="30.75">
      <c r="D73" s="2"/>
      <c r="H73" s="2"/>
      <c r="I73" s="2"/>
      <c r="J73" s="2"/>
      <c r="K73" s="2"/>
      <c r="W73" s="142"/>
      <c r="X73" s="142"/>
      <c r="Y73" s="142"/>
      <c r="Z73" s="142"/>
    </row>
    <row r="74" spans="4:26" ht="30.75">
      <c r="D74" s="2"/>
      <c r="H74" s="2"/>
      <c r="I74" s="2"/>
      <c r="J74" s="2"/>
      <c r="K74" s="2"/>
      <c r="W74" s="142"/>
      <c r="X74" s="142"/>
      <c r="Y74" s="142"/>
      <c r="Z74" s="142"/>
    </row>
    <row r="75" spans="4:26" ht="30.75">
      <c r="D75" s="2"/>
      <c r="H75" s="2"/>
      <c r="I75" s="2"/>
      <c r="J75" s="2"/>
      <c r="K75" s="2"/>
      <c r="W75" s="142"/>
      <c r="X75" s="142"/>
      <c r="Y75" s="142"/>
      <c r="Z75" s="142"/>
    </row>
    <row r="76" spans="4:26" ht="30.75">
      <c r="D76" s="2"/>
      <c r="H76" s="2"/>
      <c r="I76" s="2"/>
      <c r="J76" s="2"/>
      <c r="K76" s="2"/>
      <c r="W76" s="142"/>
      <c r="X76" s="142"/>
      <c r="Y76" s="142"/>
      <c r="Z76" s="142"/>
    </row>
    <row r="77" spans="4:26" ht="30.75">
      <c r="D77" s="2"/>
      <c r="H77" s="2"/>
      <c r="I77" s="2"/>
      <c r="J77" s="2"/>
      <c r="K77" s="2"/>
      <c r="W77" s="142"/>
      <c r="X77" s="142"/>
      <c r="Y77" s="142"/>
      <c r="Z77" s="142"/>
    </row>
    <row r="78" spans="4:26" ht="30.75">
      <c r="D78" s="2"/>
      <c r="H78" s="2"/>
      <c r="I78" s="2"/>
      <c r="J78" s="2"/>
      <c r="K78" s="2"/>
      <c r="W78" s="142"/>
      <c r="X78" s="142"/>
      <c r="Y78" s="142"/>
      <c r="Z78" s="142"/>
    </row>
    <row r="79" spans="4:26" ht="30.75">
      <c r="D79" s="2"/>
      <c r="H79" s="2"/>
      <c r="I79" s="2"/>
      <c r="J79" s="2"/>
      <c r="K79" s="2"/>
      <c r="W79" s="142"/>
      <c r="X79" s="142"/>
      <c r="Y79" s="142"/>
      <c r="Z79" s="142"/>
    </row>
    <row r="80" spans="4:26" ht="30.75">
      <c r="D80" s="2"/>
      <c r="H80" s="2"/>
      <c r="I80" s="2"/>
      <c r="J80" s="2"/>
      <c r="K80" s="2"/>
      <c r="W80" s="142"/>
      <c r="X80" s="142"/>
      <c r="Y80" s="142"/>
      <c r="Z80" s="142"/>
    </row>
    <row r="81" spans="4:26" ht="30.75">
      <c r="D81" s="2"/>
      <c r="H81" s="2"/>
      <c r="I81" s="2"/>
      <c r="J81" s="2"/>
      <c r="K81" s="2"/>
      <c r="W81" s="142"/>
      <c r="X81" s="142"/>
      <c r="Y81" s="142"/>
      <c r="Z81" s="142"/>
    </row>
    <row r="82" spans="4:26" ht="30.75">
      <c r="D82" s="2"/>
      <c r="H82" s="2"/>
      <c r="I82" s="2"/>
      <c r="J82" s="2"/>
      <c r="K82" s="2"/>
      <c r="W82" s="142"/>
      <c r="X82" s="142"/>
      <c r="Y82" s="142"/>
      <c r="Z82" s="142"/>
    </row>
    <row r="83" spans="4:26" ht="30.75">
      <c r="D83" s="2"/>
      <c r="H83" s="2"/>
      <c r="I83" s="2"/>
      <c r="J83" s="2"/>
      <c r="K83" s="2"/>
      <c r="W83" s="142"/>
      <c r="X83" s="142"/>
      <c r="Y83" s="142"/>
      <c r="Z83" s="142"/>
    </row>
    <row r="84" spans="4:26" ht="30.75">
      <c r="D84" s="2"/>
      <c r="H84" s="2"/>
      <c r="I84" s="2"/>
      <c r="J84" s="2"/>
      <c r="K84" s="2"/>
      <c r="W84" s="142"/>
      <c r="X84" s="142"/>
      <c r="Y84" s="142"/>
      <c r="Z84" s="142"/>
    </row>
    <row r="85" spans="4:26" ht="30.75">
      <c r="D85" s="2"/>
      <c r="H85" s="2"/>
      <c r="I85" s="2"/>
      <c r="J85" s="2"/>
      <c r="K85" s="2"/>
      <c r="W85" s="142"/>
      <c r="X85" s="142"/>
      <c r="Y85" s="142"/>
      <c r="Z85" s="142"/>
    </row>
    <row r="86" spans="4:26" ht="30.75">
      <c r="D86" s="2"/>
      <c r="H86" s="2"/>
      <c r="I86" s="2"/>
      <c r="J86" s="2"/>
      <c r="K86" s="2"/>
      <c r="W86" s="142"/>
      <c r="X86" s="142"/>
      <c r="Y86" s="142"/>
      <c r="Z86" s="142"/>
    </row>
    <row r="87" spans="4:26" ht="30.75">
      <c r="D87" s="2"/>
      <c r="H87" s="2"/>
      <c r="I87" s="2"/>
      <c r="J87" s="2"/>
      <c r="K87" s="2"/>
      <c r="W87" s="142"/>
      <c r="X87" s="142"/>
      <c r="Y87" s="142"/>
      <c r="Z87" s="142"/>
    </row>
    <row r="88" spans="4:26" ht="30.75">
      <c r="D88" s="2"/>
      <c r="H88" s="2"/>
      <c r="I88" s="2"/>
      <c r="J88" s="2"/>
      <c r="K88" s="2"/>
      <c r="W88" s="142"/>
      <c r="X88" s="142"/>
      <c r="Y88" s="142"/>
      <c r="Z88" s="142"/>
    </row>
    <row r="89" spans="4:26" ht="30.75">
      <c r="D89" s="2"/>
      <c r="H89" s="2"/>
      <c r="I89" s="2"/>
      <c r="J89" s="2"/>
      <c r="K89" s="2"/>
      <c r="W89" s="142"/>
      <c r="X89" s="142"/>
      <c r="Y89" s="142"/>
      <c r="Z89" s="142"/>
    </row>
    <row r="90" spans="4:26" ht="30.75">
      <c r="D90" s="2"/>
      <c r="H90" s="2"/>
      <c r="I90" s="2"/>
      <c r="J90" s="2"/>
      <c r="K90" s="2"/>
      <c r="W90" s="142"/>
      <c r="X90" s="142"/>
      <c r="Y90" s="142"/>
      <c r="Z90" s="142"/>
    </row>
    <row r="91" spans="4:26" ht="30.75">
      <c r="D91" s="2"/>
      <c r="H91" s="2"/>
      <c r="I91" s="2"/>
      <c r="J91" s="2"/>
      <c r="K91" s="2"/>
      <c r="W91" s="142"/>
      <c r="X91" s="142"/>
      <c r="Y91" s="142"/>
      <c r="Z91" s="142"/>
    </row>
    <row r="92" spans="4:26" ht="30.75">
      <c r="D92" s="2"/>
      <c r="H92" s="2"/>
      <c r="I92" s="2"/>
      <c r="J92" s="2"/>
      <c r="K92" s="2"/>
      <c r="W92" s="142"/>
      <c r="X92" s="142"/>
      <c r="Y92" s="142"/>
      <c r="Z92" s="142"/>
    </row>
    <row r="93" spans="4:26" ht="30.75">
      <c r="D93" s="2"/>
      <c r="H93" s="2"/>
      <c r="I93" s="2"/>
      <c r="J93" s="2"/>
      <c r="K93" s="2"/>
      <c r="W93" s="142"/>
      <c r="X93" s="142"/>
      <c r="Y93" s="142"/>
      <c r="Z93" s="142"/>
    </row>
    <row r="94" spans="4:26" ht="30.75">
      <c r="D94" s="2"/>
      <c r="H94" s="2"/>
      <c r="I94" s="2"/>
      <c r="J94" s="2"/>
      <c r="K94" s="2"/>
      <c r="W94" s="142"/>
      <c r="X94" s="142"/>
      <c r="Y94" s="142"/>
      <c r="Z94" s="142"/>
    </row>
    <row r="95" spans="4:26" ht="30.75">
      <c r="D95" s="2"/>
      <c r="H95" s="2"/>
      <c r="I95" s="2"/>
      <c r="J95" s="2"/>
      <c r="K95" s="2"/>
      <c r="W95" s="142"/>
      <c r="X95" s="142"/>
      <c r="Y95" s="142"/>
      <c r="Z95" s="142"/>
    </row>
    <row r="96" spans="4:26" ht="30.75">
      <c r="D96" s="2"/>
      <c r="H96" s="2"/>
      <c r="I96" s="2"/>
      <c r="J96" s="2"/>
      <c r="K96" s="2"/>
      <c r="W96" s="142"/>
      <c r="X96" s="142"/>
      <c r="Y96" s="142"/>
      <c r="Z96" s="142"/>
    </row>
    <row r="97" spans="4:26" ht="30.75">
      <c r="D97" s="2"/>
      <c r="H97" s="2"/>
      <c r="I97" s="2"/>
      <c r="J97" s="2"/>
      <c r="K97" s="2"/>
      <c r="W97" s="142"/>
      <c r="X97" s="142"/>
      <c r="Y97" s="142"/>
      <c r="Z97" s="142"/>
    </row>
    <row r="98" spans="4:26" ht="30.75">
      <c r="D98" s="2"/>
      <c r="H98" s="2"/>
      <c r="I98" s="2"/>
      <c r="J98" s="2"/>
      <c r="K98" s="2"/>
      <c r="W98" s="142"/>
      <c r="X98" s="142"/>
      <c r="Y98" s="142"/>
      <c r="Z98" s="142"/>
    </row>
    <row r="99" spans="4:26" ht="30.75">
      <c r="D99" s="2"/>
      <c r="H99" s="2"/>
      <c r="I99" s="2"/>
      <c r="J99" s="2"/>
      <c r="K99" s="2"/>
      <c r="W99" s="142"/>
      <c r="X99" s="142"/>
      <c r="Y99" s="142"/>
      <c r="Z99" s="142"/>
    </row>
    <row r="100" spans="4:26" ht="30.75">
      <c r="D100" s="2"/>
      <c r="H100" s="2"/>
      <c r="I100" s="2"/>
      <c r="J100" s="2"/>
      <c r="K100" s="2"/>
      <c r="W100" s="142"/>
      <c r="X100" s="142"/>
      <c r="Y100" s="142"/>
      <c r="Z100" s="142"/>
    </row>
    <row r="101" spans="4:26" ht="30.75">
      <c r="D101" s="2"/>
      <c r="H101" s="2"/>
      <c r="I101" s="2"/>
      <c r="J101" s="2"/>
      <c r="K101" s="2"/>
      <c r="W101" s="142"/>
      <c r="X101" s="142"/>
      <c r="Y101" s="142"/>
      <c r="Z101" s="142"/>
    </row>
    <row r="102" spans="4:26" ht="30.75">
      <c r="D102" s="2"/>
      <c r="H102" s="2"/>
      <c r="I102" s="2"/>
      <c r="J102" s="2"/>
      <c r="K102" s="2"/>
      <c r="W102" s="142"/>
      <c r="X102" s="142"/>
      <c r="Y102" s="142"/>
      <c r="Z102" s="142"/>
    </row>
    <row r="103" spans="4:26" ht="30.75">
      <c r="D103" s="2"/>
      <c r="H103" s="2"/>
      <c r="I103" s="2"/>
      <c r="J103" s="2"/>
      <c r="K103" s="2"/>
      <c r="W103" s="142"/>
      <c r="X103" s="142"/>
      <c r="Y103" s="142"/>
      <c r="Z103" s="142"/>
    </row>
    <row r="104" spans="4:26" ht="30.75">
      <c r="D104" s="2"/>
      <c r="H104" s="2"/>
      <c r="I104" s="2"/>
      <c r="J104" s="2"/>
      <c r="K104" s="2"/>
      <c r="W104" s="142"/>
      <c r="X104" s="142"/>
      <c r="Y104" s="142"/>
      <c r="Z104" s="142"/>
    </row>
    <row r="105" spans="4:26" ht="30.75">
      <c r="D105" s="2"/>
      <c r="H105" s="2"/>
      <c r="I105" s="2"/>
      <c r="J105" s="2"/>
      <c r="K105" s="2"/>
      <c r="W105" s="142"/>
      <c r="X105" s="142"/>
      <c r="Y105" s="142"/>
      <c r="Z105" s="142"/>
    </row>
    <row r="106" spans="4:26" ht="30.75">
      <c r="D106" s="2"/>
      <c r="H106" s="2"/>
      <c r="I106" s="2"/>
      <c r="J106" s="2"/>
      <c r="K106" s="2"/>
      <c r="W106" s="142"/>
      <c r="X106" s="142"/>
      <c r="Y106" s="142"/>
      <c r="Z106" s="142"/>
    </row>
    <row r="107" spans="4:26" ht="30.75">
      <c r="D107" s="2"/>
      <c r="H107" s="2"/>
      <c r="I107" s="2"/>
      <c r="J107" s="2"/>
      <c r="K107" s="2"/>
      <c r="W107" s="142"/>
      <c r="X107" s="142"/>
      <c r="Y107" s="142"/>
      <c r="Z107" s="142"/>
    </row>
    <row r="108" spans="4:26" ht="30.75">
      <c r="D108" s="2"/>
      <c r="H108" s="2"/>
      <c r="I108" s="2"/>
      <c r="J108" s="2"/>
      <c r="K108" s="2"/>
      <c r="W108" s="142"/>
      <c r="X108" s="142"/>
      <c r="Y108" s="142"/>
      <c r="Z108" s="142"/>
    </row>
    <row r="109" spans="4:26" ht="30.75">
      <c r="D109" s="2"/>
      <c r="H109" s="2"/>
      <c r="I109" s="2"/>
      <c r="J109" s="2"/>
      <c r="K109" s="2"/>
      <c r="W109" s="142"/>
      <c r="X109" s="142"/>
      <c r="Y109" s="142"/>
      <c r="Z109" s="142"/>
    </row>
    <row r="110" spans="4:26" ht="30.75">
      <c r="D110" s="2"/>
      <c r="H110" s="2"/>
      <c r="I110" s="2"/>
      <c r="J110" s="2"/>
      <c r="K110" s="2"/>
      <c r="W110" s="142"/>
      <c r="X110" s="142"/>
      <c r="Y110" s="142"/>
      <c r="Z110" s="142"/>
    </row>
    <row r="111" spans="4:26" ht="30.75">
      <c r="D111" s="2"/>
      <c r="H111" s="2"/>
      <c r="I111" s="2"/>
      <c r="J111" s="2"/>
      <c r="K111" s="2"/>
      <c r="W111" s="142"/>
      <c r="X111" s="142"/>
      <c r="Y111" s="142"/>
      <c r="Z111" s="142"/>
    </row>
    <row r="112" spans="4:26" ht="30.75">
      <c r="D112" s="2"/>
      <c r="H112" s="2"/>
      <c r="I112" s="2"/>
      <c r="J112" s="2"/>
      <c r="K112" s="2"/>
      <c r="W112" s="142"/>
      <c r="X112" s="142"/>
      <c r="Y112" s="142"/>
      <c r="Z112" s="142"/>
    </row>
    <row r="113" spans="4:26" ht="30.75">
      <c r="D113" s="2"/>
      <c r="H113" s="2"/>
      <c r="I113" s="2"/>
      <c r="J113" s="2"/>
      <c r="K113" s="2"/>
      <c r="W113" s="142"/>
      <c r="X113" s="142"/>
      <c r="Y113" s="142"/>
      <c r="Z113" s="142"/>
    </row>
    <row r="114" spans="4:26" ht="30.75">
      <c r="D114" s="2"/>
      <c r="H114" s="2"/>
      <c r="I114" s="2"/>
      <c r="J114" s="2"/>
      <c r="K114" s="2"/>
      <c r="W114" s="142"/>
      <c r="X114" s="142"/>
      <c r="Y114" s="142"/>
      <c r="Z114" s="142"/>
    </row>
    <row r="115" spans="4:26" ht="30.75">
      <c r="D115" s="2"/>
      <c r="H115" s="2"/>
      <c r="I115" s="2"/>
      <c r="J115" s="2"/>
      <c r="K115" s="2"/>
      <c r="W115" s="142"/>
      <c r="X115" s="142"/>
      <c r="Y115" s="142"/>
      <c r="Z115" s="142"/>
    </row>
    <row r="116" spans="4:26" ht="30.75">
      <c r="D116" s="2"/>
      <c r="H116" s="2"/>
      <c r="I116" s="2"/>
      <c r="J116" s="2"/>
      <c r="K116" s="2"/>
      <c r="W116" s="142"/>
      <c r="X116" s="142"/>
      <c r="Y116" s="142"/>
      <c r="Z116" s="142"/>
    </row>
    <row r="117" spans="4:26" ht="30.75">
      <c r="D117" s="2"/>
      <c r="H117" s="2"/>
      <c r="I117" s="2"/>
      <c r="J117" s="2"/>
      <c r="K117" s="2"/>
      <c r="W117" s="142"/>
      <c r="X117" s="142"/>
      <c r="Y117" s="142"/>
      <c r="Z117" s="142"/>
    </row>
    <row r="118" spans="4:26" ht="30.75">
      <c r="D118" s="2"/>
      <c r="H118" s="2"/>
      <c r="I118" s="2"/>
      <c r="J118" s="2"/>
      <c r="K118" s="2"/>
      <c r="W118" s="142"/>
      <c r="X118" s="142"/>
      <c r="Y118" s="142"/>
      <c r="Z118" s="142"/>
    </row>
    <row r="119" spans="4:26" ht="30.75">
      <c r="D119" s="2"/>
      <c r="H119" s="2"/>
      <c r="I119" s="2"/>
      <c r="J119" s="2"/>
      <c r="K119" s="2"/>
      <c r="W119" s="142"/>
      <c r="X119" s="142"/>
      <c r="Y119" s="142"/>
      <c r="Z119" s="142"/>
    </row>
    <row r="120" spans="4:26" ht="30.75">
      <c r="D120" s="2"/>
      <c r="H120" s="2"/>
      <c r="I120" s="2"/>
      <c r="J120" s="2"/>
      <c r="K120" s="2"/>
      <c r="W120" s="142"/>
      <c r="X120" s="142"/>
      <c r="Y120" s="142"/>
      <c r="Z120" s="142"/>
    </row>
    <row r="121" spans="4:26" ht="30.75">
      <c r="D121" s="2"/>
      <c r="H121" s="2"/>
      <c r="I121" s="2"/>
      <c r="J121" s="2"/>
      <c r="K121" s="2"/>
      <c r="W121" s="142"/>
      <c r="X121" s="142"/>
      <c r="Y121" s="142"/>
      <c r="Z121" s="142"/>
    </row>
    <row r="122" spans="4:26" ht="30.75">
      <c r="D122" s="2"/>
      <c r="H122" s="2"/>
      <c r="I122" s="2"/>
      <c r="J122" s="2"/>
      <c r="K122" s="2"/>
      <c r="W122" s="142"/>
      <c r="X122" s="142"/>
      <c r="Y122" s="142"/>
      <c r="Z122" s="142"/>
    </row>
    <row r="123" spans="4:26" ht="30.75">
      <c r="D123" s="2"/>
      <c r="H123" s="2"/>
      <c r="I123" s="2"/>
      <c r="J123" s="2"/>
      <c r="K123" s="2"/>
      <c r="W123" s="142"/>
      <c r="X123" s="142"/>
      <c r="Y123" s="142"/>
      <c r="Z123" s="142"/>
    </row>
    <row r="124" spans="4:26" ht="30.75">
      <c r="D124" s="2"/>
      <c r="H124" s="2"/>
      <c r="I124" s="2"/>
      <c r="J124" s="2"/>
      <c r="K124" s="2"/>
      <c r="W124" s="142"/>
      <c r="X124" s="142"/>
      <c r="Y124" s="142"/>
      <c r="Z124" s="142"/>
    </row>
    <row r="125" spans="4:26" ht="30.75">
      <c r="D125" s="2"/>
      <c r="H125" s="2"/>
      <c r="I125" s="2"/>
      <c r="J125" s="2"/>
      <c r="K125" s="2"/>
      <c r="W125" s="142"/>
      <c r="X125" s="142"/>
      <c r="Y125" s="142"/>
      <c r="Z125" s="142"/>
    </row>
    <row r="126" spans="4:26" ht="30.75">
      <c r="D126" s="2"/>
      <c r="H126" s="2"/>
      <c r="I126" s="2"/>
      <c r="J126" s="2"/>
      <c r="K126" s="2"/>
      <c r="W126" s="142"/>
      <c r="X126" s="142"/>
      <c r="Y126" s="142"/>
      <c r="Z126" s="142"/>
    </row>
    <row r="127" spans="4:26" ht="30.75">
      <c r="D127" s="2"/>
      <c r="H127" s="2"/>
      <c r="I127" s="2"/>
      <c r="J127" s="2"/>
      <c r="K127" s="2"/>
      <c r="W127" s="142"/>
      <c r="X127" s="142"/>
      <c r="Y127" s="142"/>
      <c r="Z127" s="142"/>
    </row>
    <row r="128" spans="4:26" ht="30.75">
      <c r="D128" s="2"/>
      <c r="H128" s="2"/>
      <c r="I128" s="2"/>
      <c r="J128" s="2"/>
      <c r="K128" s="2"/>
      <c r="W128" s="142"/>
      <c r="X128" s="142"/>
      <c r="Y128" s="142"/>
      <c r="Z128" s="142"/>
    </row>
    <row r="129" spans="4:26" ht="30.75">
      <c r="D129" s="2"/>
      <c r="H129" s="2"/>
      <c r="I129" s="2"/>
      <c r="J129" s="2"/>
      <c r="K129" s="2"/>
      <c r="W129" s="142"/>
      <c r="X129" s="142"/>
      <c r="Y129" s="142"/>
      <c r="Z129" s="142"/>
    </row>
    <row r="130" spans="4:26" ht="30.75">
      <c r="D130" s="2"/>
      <c r="H130" s="2"/>
      <c r="I130" s="2"/>
      <c r="J130" s="2"/>
      <c r="K130" s="2"/>
      <c r="W130" s="142"/>
      <c r="X130" s="142"/>
      <c r="Y130" s="142"/>
      <c r="Z130" s="142"/>
    </row>
    <row r="131" spans="4:26" ht="30.75">
      <c r="D131" s="2"/>
      <c r="H131" s="2"/>
      <c r="I131" s="2"/>
      <c r="J131" s="2"/>
      <c r="K131" s="2"/>
      <c r="W131" s="142"/>
      <c r="X131" s="142"/>
      <c r="Y131" s="142"/>
      <c r="Z131" s="142"/>
    </row>
    <row r="132" spans="4:26" ht="30.75">
      <c r="D132" s="2"/>
      <c r="H132" s="2"/>
      <c r="I132" s="2"/>
      <c r="J132" s="2"/>
      <c r="K132" s="2"/>
      <c r="W132" s="142"/>
      <c r="X132" s="142"/>
      <c r="Y132" s="142"/>
      <c r="Z132" s="142"/>
    </row>
    <row r="133" spans="4:26" ht="30.75">
      <c r="D133" s="2"/>
      <c r="H133" s="2"/>
      <c r="I133" s="2"/>
      <c r="J133" s="2"/>
      <c r="K133" s="2"/>
      <c r="W133" s="142"/>
      <c r="X133" s="142"/>
      <c r="Y133" s="142"/>
      <c r="Z133" s="142"/>
    </row>
    <row r="134" spans="4:26" ht="30.75">
      <c r="D134" s="2"/>
      <c r="H134" s="2"/>
      <c r="I134" s="2"/>
      <c r="J134" s="2"/>
      <c r="K134" s="2"/>
      <c r="W134" s="142"/>
      <c r="X134" s="142"/>
      <c r="Y134" s="142"/>
      <c r="Z134" s="142"/>
    </row>
    <row r="135" spans="4:26" ht="30.75">
      <c r="D135" s="2"/>
      <c r="H135" s="2"/>
      <c r="I135" s="2"/>
      <c r="J135" s="2"/>
      <c r="K135" s="2"/>
      <c r="W135" s="142"/>
      <c r="X135" s="142"/>
      <c r="Y135" s="142"/>
      <c r="Z135" s="142"/>
    </row>
    <row r="136" spans="4:26" ht="30.75">
      <c r="D136" s="2"/>
      <c r="H136" s="2"/>
      <c r="I136" s="2"/>
      <c r="J136" s="2"/>
      <c r="K136" s="2"/>
      <c r="W136" s="142"/>
      <c r="X136" s="142"/>
      <c r="Y136" s="142"/>
      <c r="Z136" s="142"/>
    </row>
    <row r="137" spans="4:26" ht="30.75">
      <c r="D137" s="2"/>
      <c r="H137" s="2"/>
      <c r="I137" s="2"/>
      <c r="J137" s="2"/>
      <c r="K137" s="2"/>
      <c r="W137" s="142"/>
      <c r="X137" s="142"/>
      <c r="Y137" s="142"/>
      <c r="Z137" s="142"/>
    </row>
    <row r="138" spans="4:26" ht="30.75">
      <c r="D138" s="2"/>
      <c r="H138" s="2"/>
      <c r="I138" s="2"/>
      <c r="J138" s="2"/>
      <c r="K138" s="2"/>
      <c r="W138" s="142"/>
      <c r="X138" s="142"/>
      <c r="Y138" s="142"/>
      <c r="Z138" s="142"/>
    </row>
    <row r="139" spans="4:26" ht="30.75">
      <c r="D139" s="2"/>
      <c r="H139" s="2"/>
      <c r="I139" s="2"/>
      <c r="J139" s="2"/>
      <c r="K139" s="2"/>
      <c r="W139" s="142"/>
      <c r="X139" s="142"/>
      <c r="Y139" s="142"/>
      <c r="Z139" s="142"/>
    </row>
    <row r="140" spans="4:26" ht="30.75">
      <c r="D140" s="2"/>
      <c r="H140" s="2"/>
      <c r="I140" s="2"/>
      <c r="J140" s="2"/>
      <c r="K140" s="2"/>
      <c r="W140" s="142"/>
      <c r="X140" s="142"/>
      <c r="Y140" s="142"/>
      <c r="Z140" s="142"/>
    </row>
    <row r="141" spans="4:26" ht="30.75">
      <c r="D141" s="2"/>
      <c r="H141" s="2"/>
      <c r="I141" s="2"/>
      <c r="J141" s="2"/>
      <c r="K141" s="2"/>
      <c r="W141" s="142"/>
      <c r="X141" s="142"/>
      <c r="Y141" s="142"/>
      <c r="Z141" s="142"/>
    </row>
    <row r="142" spans="4:26" ht="30.75">
      <c r="D142" s="2"/>
      <c r="H142" s="2"/>
      <c r="I142" s="2"/>
      <c r="J142" s="2"/>
      <c r="K142" s="2"/>
      <c r="W142" s="142"/>
      <c r="X142" s="142"/>
      <c r="Y142" s="142"/>
      <c r="Z142" s="142"/>
    </row>
    <row r="143" spans="4:26" ht="30.75">
      <c r="D143" s="2"/>
      <c r="H143" s="2"/>
      <c r="I143" s="2"/>
      <c r="J143" s="2"/>
      <c r="K143" s="2"/>
      <c r="W143" s="142"/>
      <c r="X143" s="142"/>
      <c r="Y143" s="142"/>
      <c r="Z143" s="142"/>
    </row>
    <row r="144" spans="4:26" ht="30.75">
      <c r="D144" s="2"/>
      <c r="H144" s="2"/>
      <c r="I144" s="2"/>
      <c r="J144" s="2"/>
      <c r="K144" s="2"/>
      <c r="W144" s="142"/>
      <c r="X144" s="142"/>
      <c r="Y144" s="142"/>
      <c r="Z144" s="142"/>
    </row>
    <row r="145" spans="4:26" ht="30.75">
      <c r="D145" s="2"/>
      <c r="H145" s="2"/>
      <c r="I145" s="2"/>
      <c r="J145" s="2"/>
      <c r="K145" s="2"/>
      <c r="W145" s="142"/>
      <c r="X145" s="142"/>
      <c r="Y145" s="142"/>
      <c r="Z145" s="142"/>
    </row>
    <row r="146" spans="4:26" ht="30.75">
      <c r="D146" s="2"/>
      <c r="H146" s="2"/>
      <c r="I146" s="2"/>
      <c r="J146" s="2"/>
      <c r="K146" s="2"/>
      <c r="W146" s="142"/>
      <c r="X146" s="142"/>
      <c r="Y146" s="142"/>
      <c r="Z146" s="142"/>
    </row>
    <row r="147" spans="4:26" ht="30.75">
      <c r="D147" s="2"/>
      <c r="H147" s="2"/>
      <c r="I147" s="2"/>
      <c r="J147" s="2"/>
      <c r="K147" s="2"/>
      <c r="W147" s="142"/>
      <c r="X147" s="142"/>
      <c r="Y147" s="142"/>
      <c r="Z147" s="142"/>
    </row>
    <row r="148" spans="4:26" ht="30.75">
      <c r="D148" s="2"/>
      <c r="H148" s="2"/>
      <c r="I148" s="2"/>
      <c r="J148" s="2"/>
      <c r="K148" s="2"/>
      <c r="W148" s="142"/>
      <c r="X148" s="142"/>
      <c r="Y148" s="142"/>
      <c r="Z148" s="142"/>
    </row>
    <row r="149" spans="4:26" ht="30.75">
      <c r="D149" s="2"/>
      <c r="H149" s="2"/>
      <c r="I149" s="2"/>
      <c r="J149" s="2"/>
      <c r="K149" s="2"/>
      <c r="W149" s="142"/>
      <c r="X149" s="142"/>
      <c r="Y149" s="142"/>
      <c r="Z149" s="142"/>
    </row>
    <row r="150" spans="4:26" ht="30.75">
      <c r="D150" s="2"/>
      <c r="H150" s="2"/>
      <c r="I150" s="2"/>
      <c r="J150" s="2"/>
      <c r="K150" s="2"/>
      <c r="W150" s="142"/>
      <c r="X150" s="142"/>
      <c r="Y150" s="142"/>
      <c r="Z150" s="142"/>
    </row>
    <row r="151" spans="4:26" ht="30.75">
      <c r="D151" s="2"/>
      <c r="H151" s="2"/>
      <c r="I151" s="2"/>
      <c r="J151" s="2"/>
      <c r="K151" s="2"/>
      <c r="W151" s="142"/>
      <c r="X151" s="142"/>
      <c r="Y151" s="142"/>
      <c r="Z151" s="142"/>
    </row>
    <row r="152" spans="4:26" ht="30.75">
      <c r="D152" s="2"/>
      <c r="H152" s="2"/>
      <c r="I152" s="2"/>
      <c r="J152" s="2"/>
      <c r="K152" s="2"/>
      <c r="W152" s="142"/>
      <c r="X152" s="142"/>
      <c r="Y152" s="142"/>
      <c r="Z152" s="142"/>
    </row>
    <row r="153" spans="4:26" ht="30.75">
      <c r="D153" s="2"/>
      <c r="H153" s="2"/>
      <c r="I153" s="2"/>
      <c r="J153" s="2"/>
      <c r="K153" s="2"/>
      <c r="W153" s="142"/>
      <c r="X153" s="142"/>
      <c r="Y153" s="142"/>
      <c r="Z153" s="142"/>
    </row>
    <row r="154" spans="4:26" ht="30.75">
      <c r="D154" s="2"/>
      <c r="H154" s="2"/>
      <c r="I154" s="2"/>
      <c r="J154" s="2"/>
      <c r="K154" s="2"/>
      <c r="W154" s="142"/>
      <c r="X154" s="142"/>
      <c r="Y154" s="142"/>
      <c r="Z154" s="142"/>
    </row>
    <row r="155" spans="4:26" ht="30.75">
      <c r="D155" s="2"/>
      <c r="H155" s="2"/>
      <c r="I155" s="2"/>
      <c r="J155" s="2"/>
      <c r="K155" s="2"/>
      <c r="W155" s="142"/>
      <c r="X155" s="142"/>
      <c r="Y155" s="142"/>
      <c r="Z155" s="142"/>
    </row>
    <row r="156" spans="4:26" ht="30.75">
      <c r="D156" s="2"/>
      <c r="H156" s="2"/>
      <c r="I156" s="2"/>
      <c r="J156" s="2"/>
      <c r="K156" s="2"/>
      <c r="W156" s="142"/>
      <c r="X156" s="142"/>
      <c r="Y156" s="142"/>
      <c r="Z156" s="142"/>
    </row>
    <row r="157" spans="4:26" ht="30.75">
      <c r="D157" s="2"/>
      <c r="H157" s="2"/>
      <c r="I157" s="2"/>
      <c r="J157" s="2"/>
      <c r="K157" s="2"/>
      <c r="W157" s="142"/>
      <c r="X157" s="142"/>
      <c r="Y157" s="142"/>
      <c r="Z157" s="142"/>
    </row>
    <row r="158" spans="4:26" ht="30.75">
      <c r="D158" s="2"/>
      <c r="H158" s="2"/>
      <c r="I158" s="2"/>
      <c r="J158" s="2"/>
      <c r="K158" s="2"/>
      <c r="W158" s="142"/>
      <c r="X158" s="142"/>
      <c r="Y158" s="142"/>
      <c r="Z158" s="142"/>
    </row>
    <row r="159" spans="4:26" ht="30.75">
      <c r="D159" s="2"/>
      <c r="H159" s="2"/>
      <c r="I159" s="2"/>
      <c r="J159" s="2"/>
      <c r="K159" s="2"/>
      <c r="W159" s="142"/>
      <c r="X159" s="142"/>
      <c r="Y159" s="142"/>
      <c r="Z159" s="142"/>
    </row>
    <row r="160" spans="4:26" ht="30.75">
      <c r="D160" s="2"/>
      <c r="H160" s="2"/>
      <c r="I160" s="2"/>
      <c r="J160" s="2"/>
      <c r="K160" s="2"/>
      <c r="W160" s="142"/>
      <c r="X160" s="142"/>
      <c r="Y160" s="142"/>
      <c r="Z160" s="142"/>
    </row>
    <row r="161" spans="4:26" ht="30.75">
      <c r="D161" s="2"/>
      <c r="H161" s="2"/>
      <c r="I161" s="2"/>
      <c r="J161" s="2"/>
      <c r="K161" s="2"/>
      <c r="W161" s="142"/>
      <c r="X161" s="142"/>
      <c r="Y161" s="142"/>
      <c r="Z161" s="142"/>
    </row>
    <row r="162" spans="4:26" ht="30.75">
      <c r="D162" s="2"/>
      <c r="H162" s="2"/>
      <c r="I162" s="2"/>
      <c r="J162" s="2"/>
      <c r="K162" s="2"/>
      <c r="W162" s="142"/>
      <c r="X162" s="142"/>
      <c r="Y162" s="142"/>
      <c r="Z162" s="142"/>
    </row>
    <row r="163" spans="4:26" ht="30.75">
      <c r="D163" s="2"/>
      <c r="H163" s="2"/>
      <c r="I163" s="2"/>
      <c r="J163" s="2"/>
      <c r="K163" s="2"/>
      <c r="W163" s="142"/>
      <c r="X163" s="142"/>
      <c r="Y163" s="142"/>
      <c r="Z163" s="142"/>
    </row>
    <row r="164" spans="4:26" ht="30.75">
      <c r="D164" s="2"/>
      <c r="H164" s="2"/>
      <c r="I164" s="2"/>
      <c r="J164" s="2"/>
      <c r="K164" s="2"/>
      <c r="W164" s="142"/>
      <c r="X164" s="142"/>
      <c r="Y164" s="142"/>
      <c r="Z164" s="142"/>
    </row>
    <row r="165" spans="4:26" ht="30.75">
      <c r="D165" s="2"/>
      <c r="H165" s="2"/>
      <c r="I165" s="2"/>
      <c r="J165" s="2"/>
      <c r="K165" s="2"/>
      <c r="W165" s="142"/>
      <c r="X165" s="142"/>
      <c r="Y165" s="142"/>
      <c r="Z165" s="142"/>
    </row>
    <row r="166" spans="4:26" ht="30.75">
      <c r="D166" s="2"/>
      <c r="H166" s="2"/>
      <c r="I166" s="2"/>
      <c r="J166" s="2"/>
      <c r="K166" s="2"/>
      <c r="W166" s="142"/>
      <c r="X166" s="142"/>
      <c r="Y166" s="142"/>
      <c r="Z166" s="142"/>
    </row>
    <row r="167" spans="4:26" ht="30.75">
      <c r="D167" s="2"/>
      <c r="H167" s="2"/>
      <c r="I167" s="2"/>
      <c r="J167" s="2"/>
      <c r="K167" s="2"/>
      <c r="W167" s="142"/>
      <c r="X167" s="142"/>
      <c r="Y167" s="142"/>
      <c r="Z167" s="142"/>
    </row>
    <row r="168" spans="4:26" ht="30.75">
      <c r="D168" s="2"/>
      <c r="H168" s="2"/>
      <c r="I168" s="2"/>
      <c r="J168" s="2"/>
      <c r="K168" s="2"/>
      <c r="W168" s="142"/>
      <c r="X168" s="142"/>
      <c r="Y168" s="142"/>
      <c r="Z168" s="142"/>
    </row>
    <row r="169" spans="4:26" ht="30.75">
      <c r="D169" s="2"/>
      <c r="H169" s="2"/>
      <c r="I169" s="2"/>
      <c r="J169" s="2"/>
      <c r="K169" s="2"/>
      <c r="W169" s="142"/>
      <c r="X169" s="142"/>
      <c r="Y169" s="142"/>
      <c r="Z169" s="142"/>
    </row>
    <row r="170" spans="4:26" ht="30.75">
      <c r="D170" s="2"/>
      <c r="H170" s="2"/>
      <c r="I170" s="2"/>
      <c r="J170" s="2"/>
      <c r="K170" s="2"/>
      <c r="W170" s="142"/>
      <c r="X170" s="142"/>
      <c r="Y170" s="142"/>
      <c r="Z170" s="142"/>
    </row>
    <row r="171" spans="4:26" ht="30.75">
      <c r="D171" s="2"/>
      <c r="H171" s="2"/>
      <c r="I171" s="2"/>
      <c r="J171" s="2"/>
      <c r="K171" s="2"/>
      <c r="W171" s="142"/>
      <c r="X171" s="142"/>
      <c r="Y171" s="142"/>
      <c r="Z171" s="142"/>
    </row>
    <row r="172" spans="4:26" ht="30.75">
      <c r="D172" s="2"/>
      <c r="H172" s="2"/>
      <c r="I172" s="2"/>
      <c r="J172" s="2"/>
      <c r="K172" s="2"/>
      <c r="W172" s="142"/>
      <c r="X172" s="142"/>
      <c r="Y172" s="142"/>
      <c r="Z172" s="142"/>
    </row>
    <row r="173" spans="4:26" ht="30.75">
      <c r="D173" s="2"/>
      <c r="H173" s="2"/>
      <c r="I173" s="2"/>
      <c r="J173" s="2"/>
      <c r="K173" s="2"/>
      <c r="W173" s="142"/>
      <c r="X173" s="142"/>
      <c r="Y173" s="142"/>
      <c r="Z173" s="142"/>
    </row>
    <row r="174" spans="4:26" ht="30.75">
      <c r="D174" s="2"/>
      <c r="H174" s="2"/>
      <c r="I174" s="2"/>
      <c r="J174" s="2"/>
      <c r="K174" s="2"/>
      <c r="W174" s="142"/>
      <c r="X174" s="142"/>
      <c r="Y174" s="142"/>
      <c r="Z174" s="142"/>
    </row>
    <row r="175" spans="4:26" ht="30.75">
      <c r="D175" s="2"/>
      <c r="H175" s="2"/>
      <c r="I175" s="2"/>
      <c r="J175" s="2"/>
      <c r="K175" s="2"/>
      <c r="W175" s="142"/>
      <c r="X175" s="142"/>
      <c r="Y175" s="142"/>
      <c r="Z175" s="142"/>
    </row>
    <row r="176" spans="4:26" ht="30.75">
      <c r="D176" s="2"/>
      <c r="H176" s="2"/>
      <c r="I176" s="2"/>
      <c r="J176" s="2"/>
      <c r="K176" s="2"/>
      <c r="W176" s="142"/>
      <c r="X176" s="142"/>
      <c r="Y176" s="142"/>
      <c r="Z176" s="142"/>
    </row>
    <row r="177" spans="4:26" ht="30.75">
      <c r="D177" s="2"/>
      <c r="H177" s="2"/>
      <c r="I177" s="2"/>
      <c r="J177" s="2"/>
      <c r="K177" s="2"/>
      <c r="W177" s="142"/>
      <c r="X177" s="142"/>
      <c r="Y177" s="142"/>
      <c r="Z177" s="142"/>
    </row>
    <row r="178" spans="4:26" ht="30.75">
      <c r="D178" s="2"/>
      <c r="H178" s="2"/>
      <c r="I178" s="2"/>
      <c r="J178" s="2"/>
      <c r="K178" s="2"/>
      <c r="W178" s="142"/>
      <c r="X178" s="142"/>
      <c r="Y178" s="142"/>
      <c r="Z178" s="142"/>
    </row>
  </sheetData>
  <sheetProtection/>
  <printOptions/>
  <pageMargins left="0" right="0" top="0" bottom="0" header="0.31496062992125984" footer="0.31496062992125984"/>
  <pageSetup horizontalDpi="600" verticalDpi="600" orientation="landscape" paperSize="9" scale="70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1"/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110"/>
  <sheetViews>
    <sheetView showGridLines="0" view="pageBreakPreview" zoomScale="55" zoomScaleNormal="70" zoomScaleSheetLayoutView="55" zoomScalePageLayoutView="0" workbookViewId="0" topLeftCell="A1">
      <pane xSplit="2" ySplit="7" topLeftCell="C36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4" width="25.25390625" style="2" customWidth="1"/>
    <col min="5" max="6" width="22.75390625" style="2" customWidth="1"/>
    <col min="7" max="7" width="10.625" style="2" bestFit="1" customWidth="1"/>
    <col min="8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88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0" t="s">
        <v>201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1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7" s="3" customFormat="1" ht="30" customHeight="1">
      <c r="A7" s="26" t="s">
        <v>0</v>
      </c>
      <c r="B7" s="43" t="s">
        <v>142</v>
      </c>
      <c r="C7" s="14">
        <f>Dolnośląski!C7+KujawskoPomorski!C7+Lubelski!C7+Lubuski!C7+Łódzki!C7+Małopolski!C7+Mazowiecki!C7+Opolski!C7+Podkarpacki!C7+Podlaski!C7+Pomorski!C7+Śląski!C7+Świętokrzyski!C7+WarmińskoMazurski!C7+Wielkopolski!C7+Zachodniopomorski!C7</f>
        <v>57979387</v>
      </c>
      <c r="D7" s="14">
        <f>D8+D9+D10+D12+D13+D14+D15+D16+D17+D18+D19+D20+D21+D22+D24+D25+D26+D27</f>
        <v>57979387</v>
      </c>
      <c r="E7" s="11" t="str">
        <f>IF(C7=D7,"-",D7-C7)</f>
        <v>-</v>
      </c>
      <c r="F7" s="101">
        <f>IF(C7=0,"-",D7/C7)</f>
        <v>1</v>
      </c>
      <c r="G7" s="94"/>
    </row>
    <row r="8" spans="1:6" ht="31.5" customHeight="1">
      <c r="A8" s="33" t="s">
        <v>1</v>
      </c>
      <c r="B8" s="80" t="s">
        <v>159</v>
      </c>
      <c r="C8" s="86">
        <f>Dolnośląski!C8+KujawskoPomorski!C8+Lubelski!C8+Lubuski!C8+Łódzki!C8+Małopolski!C8+Mazowiecki!C8+Opolski!C8+Podkarpacki!C8+Podlaski!C8+Pomorski!C8+Śląski!C8+Świętokrzyski!C8+WarmińskoMazurski!C8+Wielkopolski!C8+Zachodniopomorski!C8</f>
        <v>7369948</v>
      </c>
      <c r="D8" s="86">
        <f>Dolnośląski!D8+KujawskoPomorski!D8+Lubelski!D8+Lubuski!D8+Łódzki!D8+Małopolski!D8+Mazowiecki!D8+Opolski!D8+Podkarpacki!D8+Podlaski!D8+Pomorski!D8+Śląski!D8+Świętokrzyski!D8+WarmińskoMazurski!D8+Wielkopolski!D8+Zachodniopomorski!D8</f>
        <v>7369948</v>
      </c>
      <c r="E8" s="98" t="str">
        <f aca="true" t="shared" si="0" ref="E8:E55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f>Dolnośląski!C9+KujawskoPomorski!C9+Lubelski!C9+Lubuski!C9+Łódzki!C9+Małopolski!C9+Mazowiecki!C9+Opolski!C9+Podkarpacki!C9+Podlaski!C9+Pomorski!C9+Śląski!C9+Świętokrzyski!C9+WarmińskoMazurski!C9+Wielkopolski!C9+Zachodniopomorski!C9</f>
        <v>4514546</v>
      </c>
      <c r="D9" s="86">
        <f>Dolnośląski!D9+KujawskoPomorski!D9+Lubelski!D9+Lubuski!D9+Łódzki!D9+Małopolski!D9+Mazowiecki!D9+Opolski!D9+Podkarpacki!D9+Podlaski!D9+Pomorski!D9+Śląski!D9+Świętokrzyski!D9+WarmińskoMazurski!D9+Wielkopolski!D9+Zachodniopomorski!D9</f>
        <v>4514546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27481550</v>
      </c>
      <c r="D10" s="8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27481550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1677373</v>
      </c>
      <c r="D11" s="8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1677373</v>
      </c>
      <c r="E11" s="98" t="str">
        <f>IF(C11=D11,"-",D11-C11)</f>
        <v>-</v>
      </c>
      <c r="F11" s="99">
        <f>IF(C11=0,"-",D11/C11)</f>
        <v>1</v>
      </c>
    </row>
    <row r="12" spans="1:6" ht="31.5" customHeight="1">
      <c r="A12" s="33" t="s">
        <v>4</v>
      </c>
      <c r="B12" s="80" t="s">
        <v>166</v>
      </c>
      <c r="C12" s="8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2045558</v>
      </c>
      <c r="D12" s="8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2045558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1826936</v>
      </c>
      <c r="D13" s="8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1826936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969288</v>
      </c>
      <c r="D14" s="8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969288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300324</v>
      </c>
      <c r="D15" s="8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300324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1753011</v>
      </c>
      <c r="D16" s="8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1753011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573486</v>
      </c>
      <c r="D17" s="8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573486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37794</v>
      </c>
      <c r="D18" s="8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37794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151772</v>
      </c>
      <c r="D19" s="8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151772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1482678</v>
      </c>
      <c r="D20" s="8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1482678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617867</v>
      </c>
      <c r="D21" s="8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617867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8633249</v>
      </c>
      <c r="D22" s="8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8633249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25649</v>
      </c>
      <c r="D23" s="8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25649</v>
      </c>
      <c r="E23" s="98" t="str">
        <f t="shared" si="0"/>
        <v>-</v>
      </c>
      <c r="F23" s="99">
        <f t="shared" si="1"/>
        <v>1</v>
      </c>
    </row>
    <row r="24" spans="1:6" ht="33" customHeight="1">
      <c r="A24" s="35" t="s">
        <v>16</v>
      </c>
      <c r="B24" s="40" t="s">
        <v>139</v>
      </c>
      <c r="C24" s="8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8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98" t="str">
        <f>IF(C24=D24,"-",D24-C24)</f>
        <v>-</v>
      </c>
      <c r="F24" s="99" t="str">
        <f>IF(C24=0,"-",D24/C24)</f>
        <v>-</v>
      </c>
    </row>
    <row r="25" spans="1:6" ht="33" customHeight="1">
      <c r="A25" s="35" t="s">
        <v>136</v>
      </c>
      <c r="B25" s="41" t="s">
        <v>60</v>
      </c>
      <c r="C25" s="8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8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98" t="str">
        <f>IF(C25=D25,"-",D25-C25)</f>
        <v>-</v>
      </c>
      <c r="F25" s="99" t="str">
        <f>IF(C25=0,"-",D25/C25)</f>
        <v>-</v>
      </c>
    </row>
    <row r="26" spans="1:6" ht="33" customHeight="1">
      <c r="A26" s="35" t="s">
        <v>137</v>
      </c>
      <c r="B26" s="41" t="s">
        <v>140</v>
      </c>
      <c r="C26" s="8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8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98" t="str">
        <f>IF(C26=D26,"-",D26-C26)</f>
        <v>-</v>
      </c>
      <c r="F26" s="99" t="str">
        <f>IF(C26=0,"-",D26/C26)</f>
        <v>-</v>
      </c>
    </row>
    <row r="27" spans="1:6" ht="33" customHeight="1">
      <c r="A27" s="35" t="s">
        <v>138</v>
      </c>
      <c r="B27" s="41" t="s">
        <v>141</v>
      </c>
      <c r="C27" s="8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221380</v>
      </c>
      <c r="D27" s="8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221380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87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1787607</v>
      </c>
      <c r="D29" s="87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1787607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478018</v>
      </c>
      <c r="D30" s="27">
        <f>D31+D32+D33+D41+D42+D48+D49+D50+D47</f>
        <v>478018</v>
      </c>
      <c r="E30" s="11" t="str">
        <f t="shared" si="0"/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3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19064</v>
      </c>
      <c r="D31" s="8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19064</v>
      </c>
      <c r="E31" s="98" t="str">
        <f t="shared" si="0"/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3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57913</v>
      </c>
      <c r="D32" s="8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57913</v>
      </c>
      <c r="E32" s="98" t="str">
        <f t="shared" si="0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3633</v>
      </c>
      <c r="D33" s="28">
        <f>D34+D36+D37+D38+D39+D40</f>
        <v>3633</v>
      </c>
      <c r="E33" s="98" t="str">
        <f t="shared" si="0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3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458</v>
      </c>
      <c r="D34" s="8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458</v>
      </c>
      <c r="E34" s="98" t="str">
        <f t="shared" si="0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3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434</v>
      </c>
      <c r="D35" s="83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434</v>
      </c>
      <c r="E35" s="98" t="str">
        <f t="shared" si="0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3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102</v>
      </c>
      <c r="D36" s="83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102</v>
      </c>
      <c r="E36" s="98" t="str">
        <f t="shared" si="0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83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83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98" t="str">
        <f t="shared" si="0"/>
        <v>-</v>
      </c>
      <c r="F37" s="99">
        <f t="shared" si="1"/>
        <v>1</v>
      </c>
    </row>
    <row r="38" spans="1:6" ht="28.5" customHeight="1">
      <c r="A38" s="46" t="s">
        <v>49</v>
      </c>
      <c r="B38" s="47" t="s">
        <v>42</v>
      </c>
      <c r="C38" s="83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83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98" t="str">
        <f t="shared" si="0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3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2807</v>
      </c>
      <c r="D39" s="83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2807</v>
      </c>
      <c r="E39" s="98" t="str">
        <f t="shared" si="0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3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246</v>
      </c>
      <c r="D40" s="83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246</v>
      </c>
      <c r="E40" s="98" t="str">
        <f t="shared" si="0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79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269521</v>
      </c>
      <c r="D41" s="79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269521</v>
      </c>
      <c r="E41" s="98" t="str">
        <f t="shared" si="0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82">
        <f>C43+C44+C45+C46</f>
        <v>54386</v>
      </c>
      <c r="D42" s="82">
        <f>D43+D44+D45+D46</f>
        <v>54386</v>
      </c>
      <c r="E42" s="98" t="str">
        <f t="shared" si="0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79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40716</v>
      </c>
      <c r="D43" s="79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40716</v>
      </c>
      <c r="E43" s="98" t="str">
        <f t="shared" si="0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79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6588</v>
      </c>
      <c r="D44" s="79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6588</v>
      </c>
      <c r="E44" s="98" t="str">
        <f t="shared" si="0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79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9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98" t="str">
        <f t="shared" si="0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79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7082</v>
      </c>
      <c r="D46" s="79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7082</v>
      </c>
      <c r="E46" s="98" t="str">
        <f t="shared" si="0"/>
        <v>-</v>
      </c>
      <c r="F46" s="99">
        <f t="shared" si="1"/>
        <v>1</v>
      </c>
    </row>
    <row r="47" spans="1:6" ht="28.5" customHeight="1">
      <c r="A47" s="35" t="s">
        <v>27</v>
      </c>
      <c r="B47" s="44" t="s">
        <v>28</v>
      </c>
      <c r="C47" s="79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79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98" t="str">
        <f t="shared" si="0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65482</v>
      </c>
      <c r="D48" s="8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65482</v>
      </c>
      <c r="E48" s="98" t="str">
        <f t="shared" si="0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3706</v>
      </c>
      <c r="D49" s="8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3706</v>
      </c>
      <c r="E49" s="98" t="str">
        <f t="shared" si="0"/>
        <v>-</v>
      </c>
      <c r="F49" s="102">
        <f t="shared" si="1"/>
        <v>1</v>
      </c>
    </row>
    <row r="50" spans="1:6" ht="35.25" customHeight="1">
      <c r="A50" s="35" t="s">
        <v>32</v>
      </c>
      <c r="B50" s="44" t="s">
        <v>33</v>
      </c>
      <c r="C50" s="83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4313</v>
      </c>
      <c r="D50" s="8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4313</v>
      </c>
      <c r="E50" s="98" t="str">
        <f t="shared" si="0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220723</v>
      </c>
      <c r="D51" s="31">
        <f>SUM(D52:D55)</f>
        <v>252631</v>
      </c>
      <c r="E51" s="11">
        <f t="shared" si="0"/>
        <v>31908</v>
      </c>
      <c r="F51" s="103">
        <f t="shared" si="1"/>
        <v>1.1446</v>
      </c>
    </row>
    <row r="52" spans="1:6" ht="47.25" customHeight="1">
      <c r="A52" s="35" t="s">
        <v>118</v>
      </c>
      <c r="B52" s="44" t="s">
        <v>143</v>
      </c>
      <c r="C52" s="79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2802</v>
      </c>
      <c r="D52" s="79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1233</v>
      </c>
      <c r="E52" s="98">
        <f t="shared" si="0"/>
        <v>-1569</v>
      </c>
      <c r="F52" s="99">
        <f t="shared" si="1"/>
        <v>0.44</v>
      </c>
    </row>
    <row r="53" spans="1:6" ht="31.5" customHeight="1">
      <c r="A53" s="35" t="s">
        <v>35</v>
      </c>
      <c r="B53" s="44" t="s">
        <v>63</v>
      </c>
      <c r="C53" s="79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199276</v>
      </c>
      <c r="D53" s="79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228935</v>
      </c>
      <c r="E53" s="98">
        <f t="shared" si="0"/>
        <v>29659</v>
      </c>
      <c r="F53" s="99">
        <f t="shared" si="1"/>
        <v>1.1488</v>
      </c>
    </row>
    <row r="54" spans="1:6" ht="31.5" customHeight="1">
      <c r="A54" s="35" t="s">
        <v>36</v>
      </c>
      <c r="B54" s="44" t="s">
        <v>120</v>
      </c>
      <c r="C54" s="79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9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8" t="str">
        <f t="shared" si="0"/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18645</v>
      </c>
      <c r="D55" s="79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22463</v>
      </c>
      <c r="E55" s="98">
        <f t="shared" si="0"/>
        <v>3818</v>
      </c>
      <c r="F55" s="99">
        <f t="shared" si="1"/>
        <v>1.2048</v>
      </c>
    </row>
    <row r="56" spans="1:6" ht="32.25" customHeight="1">
      <c r="A56" s="37" t="s">
        <v>126</v>
      </c>
      <c r="B56" s="49" t="s">
        <v>154</v>
      </c>
      <c r="C56" s="89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42932</v>
      </c>
      <c r="D56" s="89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75488</v>
      </c>
      <c r="E56" s="11">
        <f>IF(C56=D56,"-",D56-C56)</f>
        <v>32556</v>
      </c>
      <c r="F56" s="103">
        <f>IF(C56=0,"-",D56/C56)</f>
        <v>1.7583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ySplit="7" topLeftCell="A38" activePane="bottomLeft" state="frozen"/>
      <selection pane="topLeft" activeCell="G1" sqref="G1:H16384"/>
      <selection pane="bottomLef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71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0" t="s">
        <v>201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1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4403777</v>
      </c>
      <c r="D7" s="14">
        <f>D8+D9+D10+D12+D13+D14+D15+D16+D17+D18+D19+D20+D21+D22+D24+D25+D26+D27</f>
        <v>4403777</v>
      </c>
      <c r="E7" s="11" t="str">
        <f>IF(C7=D7,"-",D7-C7)</f>
        <v>-</v>
      </c>
      <c r="F7" s="97">
        <f>IF(C7=0,"-",D7/C7)</f>
        <v>1</v>
      </c>
    </row>
    <row r="8" spans="1:6" ht="30" customHeight="1">
      <c r="A8" s="33" t="s">
        <v>1</v>
      </c>
      <c r="B8" s="80" t="s">
        <v>159</v>
      </c>
      <c r="C8" s="86">
        <v>551550</v>
      </c>
      <c r="D8" s="29">
        <f>C8</f>
        <v>551550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0" customHeight="1">
      <c r="A9" s="33" t="s">
        <v>2</v>
      </c>
      <c r="B9" s="80" t="s">
        <v>160</v>
      </c>
      <c r="C9" s="86">
        <v>344130</v>
      </c>
      <c r="D9" s="29">
        <f aca="true" t="shared" si="2" ref="D9:D27">C9</f>
        <v>344130</v>
      </c>
      <c r="E9" s="98" t="str">
        <f t="shared" si="0"/>
        <v>-</v>
      </c>
      <c r="F9" s="99">
        <f t="shared" si="1"/>
        <v>1</v>
      </c>
    </row>
    <row r="10" spans="1:6" ht="30" customHeight="1">
      <c r="A10" s="33" t="s">
        <v>3</v>
      </c>
      <c r="B10" s="80" t="s">
        <v>157</v>
      </c>
      <c r="C10" s="86">
        <v>2092191</v>
      </c>
      <c r="D10" s="29">
        <f t="shared" si="2"/>
        <v>2092191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132215</v>
      </c>
      <c r="D11" s="29">
        <f t="shared" si="2"/>
        <v>132215</v>
      </c>
      <c r="E11" s="98" t="str">
        <f t="shared" si="0"/>
        <v>-</v>
      </c>
      <c r="F11" s="99">
        <f t="shared" si="1"/>
        <v>1</v>
      </c>
    </row>
    <row r="12" spans="1:6" ht="30" customHeight="1">
      <c r="A12" s="33" t="s">
        <v>4</v>
      </c>
      <c r="B12" s="80" t="s">
        <v>166</v>
      </c>
      <c r="C12" s="86">
        <v>160320</v>
      </c>
      <c r="D12" s="29">
        <f t="shared" si="2"/>
        <v>160320</v>
      </c>
      <c r="E12" s="98" t="str">
        <f t="shared" si="0"/>
        <v>-</v>
      </c>
      <c r="F12" s="99">
        <f t="shared" si="1"/>
        <v>1</v>
      </c>
    </row>
    <row r="13" spans="1:6" ht="30" customHeight="1">
      <c r="A13" s="33" t="s">
        <v>5</v>
      </c>
      <c r="B13" s="80" t="s">
        <v>161</v>
      </c>
      <c r="C13" s="86">
        <v>142969</v>
      </c>
      <c r="D13" s="29">
        <f t="shared" si="2"/>
        <v>142969</v>
      </c>
      <c r="E13" s="98" t="str">
        <f t="shared" si="0"/>
        <v>-</v>
      </c>
      <c r="F13" s="99">
        <f t="shared" si="1"/>
        <v>1</v>
      </c>
    </row>
    <row r="14" spans="1:6" ht="30" customHeight="1">
      <c r="A14" s="33" t="s">
        <v>6</v>
      </c>
      <c r="B14" s="80" t="s">
        <v>170</v>
      </c>
      <c r="C14" s="86">
        <v>84490</v>
      </c>
      <c r="D14" s="29">
        <f t="shared" si="2"/>
        <v>84490</v>
      </c>
      <c r="E14" s="98" t="str">
        <f t="shared" si="0"/>
        <v>-</v>
      </c>
      <c r="F14" s="99">
        <f t="shared" si="1"/>
        <v>1</v>
      </c>
    </row>
    <row r="15" spans="1:6" ht="30" customHeight="1">
      <c r="A15" s="33" t="s">
        <v>7</v>
      </c>
      <c r="B15" s="80" t="s">
        <v>169</v>
      </c>
      <c r="C15" s="86">
        <v>19397</v>
      </c>
      <c r="D15" s="29">
        <f t="shared" si="2"/>
        <v>19397</v>
      </c>
      <c r="E15" s="98" t="str">
        <f>IF(C15=D15,"-",D15-C15)</f>
        <v>-</v>
      </c>
      <c r="F15" s="99">
        <f>IF(C15=0,"-",D15/C15)</f>
        <v>1</v>
      </c>
    </row>
    <row r="16" spans="1:6" ht="30" customHeight="1">
      <c r="A16" s="33" t="s">
        <v>8</v>
      </c>
      <c r="B16" s="80" t="s">
        <v>162</v>
      </c>
      <c r="C16" s="86">
        <v>118105</v>
      </c>
      <c r="D16" s="29">
        <f t="shared" si="2"/>
        <v>118105</v>
      </c>
      <c r="E16" s="98" t="str">
        <f t="shared" si="0"/>
        <v>-</v>
      </c>
      <c r="F16" s="99">
        <f t="shared" si="1"/>
        <v>1</v>
      </c>
    </row>
    <row r="17" spans="1:6" ht="30" customHeight="1">
      <c r="A17" s="33" t="s">
        <v>9</v>
      </c>
      <c r="B17" s="80" t="s">
        <v>163</v>
      </c>
      <c r="C17" s="86">
        <v>52500</v>
      </c>
      <c r="D17" s="29">
        <f t="shared" si="2"/>
        <v>52500</v>
      </c>
      <c r="E17" s="98" t="str">
        <f t="shared" si="0"/>
        <v>-</v>
      </c>
      <c r="F17" s="99">
        <f t="shared" si="1"/>
        <v>1</v>
      </c>
    </row>
    <row r="18" spans="1:6" ht="30" customHeight="1">
      <c r="A18" s="33" t="s">
        <v>10</v>
      </c>
      <c r="B18" s="80" t="s">
        <v>171</v>
      </c>
      <c r="C18" s="86">
        <v>3750</v>
      </c>
      <c r="D18" s="29">
        <f t="shared" si="2"/>
        <v>3750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13957</v>
      </c>
      <c r="D19" s="29">
        <f t="shared" si="2"/>
        <v>13957</v>
      </c>
      <c r="E19" s="98" t="str">
        <f t="shared" si="0"/>
        <v>-</v>
      </c>
      <c r="F19" s="99">
        <f t="shared" si="1"/>
        <v>1</v>
      </c>
    </row>
    <row r="20" spans="1:6" ht="30" customHeight="1">
      <c r="A20" s="33" t="s">
        <v>12</v>
      </c>
      <c r="B20" s="80" t="s">
        <v>165</v>
      </c>
      <c r="C20" s="86">
        <v>108526</v>
      </c>
      <c r="D20" s="29">
        <f t="shared" si="2"/>
        <v>108526</v>
      </c>
      <c r="E20" s="98" t="str">
        <f t="shared" si="0"/>
        <v>-</v>
      </c>
      <c r="F20" s="99">
        <f t="shared" si="1"/>
        <v>1</v>
      </c>
    </row>
    <row r="21" spans="1:6" ht="30" customHeight="1">
      <c r="A21" s="33" t="s">
        <v>14</v>
      </c>
      <c r="B21" s="39" t="s">
        <v>13</v>
      </c>
      <c r="C21" s="86">
        <v>48250</v>
      </c>
      <c r="D21" s="29">
        <f t="shared" si="2"/>
        <v>48250</v>
      </c>
      <c r="E21" s="98" t="str">
        <f t="shared" si="0"/>
        <v>-</v>
      </c>
      <c r="F21" s="99">
        <f t="shared" si="1"/>
        <v>1</v>
      </c>
    </row>
    <row r="22" spans="1:6" ht="30" customHeight="1">
      <c r="A22" s="34" t="s">
        <v>15</v>
      </c>
      <c r="B22" s="80" t="s">
        <v>167</v>
      </c>
      <c r="C22" s="86">
        <v>644997</v>
      </c>
      <c r="D22" s="29">
        <f t="shared" si="2"/>
        <v>644997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3023</v>
      </c>
      <c r="D23" s="29">
        <f t="shared" si="2"/>
        <v>3023</v>
      </c>
      <c r="E23" s="98" t="str">
        <f t="shared" si="0"/>
        <v>-</v>
      </c>
      <c r="F23" s="99">
        <f t="shared" si="1"/>
        <v>1</v>
      </c>
    </row>
    <row r="24" spans="1:6" ht="30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0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0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0" customHeight="1">
      <c r="A27" s="35" t="s">
        <v>138</v>
      </c>
      <c r="B27" s="41" t="s">
        <v>141</v>
      </c>
      <c r="C27" s="86">
        <v>18645</v>
      </c>
      <c r="D27" s="29">
        <f t="shared" si="2"/>
        <v>18645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135689</v>
      </c>
      <c r="D29" s="91">
        <f>C29</f>
        <v>135689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33962</v>
      </c>
      <c r="D30" s="27">
        <f>D31+D32+D33+D41+D42+D48+D49+D50+D47</f>
        <v>33962</v>
      </c>
      <c r="E30" s="11" t="str">
        <f>IF(C30=D30,"-",D30-C30)</f>
        <v>-</v>
      </c>
      <c r="F30" s="101">
        <f t="shared" si="1"/>
        <v>1</v>
      </c>
    </row>
    <row r="31" spans="1:6" ht="30" customHeight="1">
      <c r="A31" s="35" t="s">
        <v>19</v>
      </c>
      <c r="B31" s="44" t="s">
        <v>20</v>
      </c>
      <c r="C31" s="79">
        <v>1530</v>
      </c>
      <c r="D31" s="28">
        <f>C31</f>
        <v>1530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30" customHeight="1">
      <c r="A32" s="35" t="s">
        <v>21</v>
      </c>
      <c r="B32" s="44" t="s">
        <v>22</v>
      </c>
      <c r="C32" s="79">
        <v>3923</v>
      </c>
      <c r="D32" s="28">
        <f>C32</f>
        <v>3923</v>
      </c>
      <c r="E32" s="98" t="str">
        <f t="shared" si="3"/>
        <v>-</v>
      </c>
      <c r="F32" s="99">
        <f t="shared" si="1"/>
        <v>1</v>
      </c>
    </row>
    <row r="33" spans="1:6" ht="30" customHeight="1">
      <c r="A33" s="35" t="s">
        <v>23</v>
      </c>
      <c r="B33" s="45" t="s">
        <v>37</v>
      </c>
      <c r="C33" s="28">
        <f>C34+C36+C37+C38+C39+C40</f>
        <v>280</v>
      </c>
      <c r="D33" s="28">
        <f>D34+D36+D37+D38+D39+D40</f>
        <v>280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81</v>
      </c>
      <c r="D34" s="28">
        <f aca="true" t="shared" si="4" ref="D34:D41">C34</f>
        <v>81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60</v>
      </c>
      <c r="D35" s="28">
        <f t="shared" si="4"/>
        <v>60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13</v>
      </c>
      <c r="D36" s="28">
        <f t="shared" si="4"/>
        <v>13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79">
        <v>1</v>
      </c>
      <c r="D37" s="28">
        <f t="shared" si="4"/>
        <v>1</v>
      </c>
      <c r="E37" s="98" t="str">
        <f t="shared" si="3"/>
        <v>-</v>
      </c>
      <c r="F37" s="99">
        <f t="shared" si="1"/>
        <v>1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184</v>
      </c>
      <c r="D39" s="28">
        <f t="shared" si="4"/>
        <v>184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1</v>
      </c>
      <c r="D40" s="28">
        <f t="shared" si="4"/>
        <v>1</v>
      </c>
      <c r="E40" s="98" t="str">
        <f t="shared" si="3"/>
        <v>-</v>
      </c>
      <c r="F40" s="99">
        <f t="shared" si="1"/>
        <v>1</v>
      </c>
    </row>
    <row r="41" spans="1:6" ht="30" customHeight="1">
      <c r="A41" s="35" t="s">
        <v>24</v>
      </c>
      <c r="B41" s="44" t="s">
        <v>25</v>
      </c>
      <c r="C41" s="28">
        <v>19436</v>
      </c>
      <c r="D41" s="28">
        <f t="shared" si="4"/>
        <v>19436</v>
      </c>
      <c r="E41" s="98" t="str">
        <f t="shared" si="3"/>
        <v>-</v>
      </c>
      <c r="F41" s="99">
        <f t="shared" si="1"/>
        <v>1</v>
      </c>
    </row>
    <row r="42" spans="1:6" ht="30" customHeight="1">
      <c r="A42" s="35" t="s">
        <v>26</v>
      </c>
      <c r="B42" s="45" t="s">
        <v>61</v>
      </c>
      <c r="C42" s="28">
        <f>SUM(C43:C46)</f>
        <v>3922</v>
      </c>
      <c r="D42" s="28">
        <f>SUM(D43:D46)</f>
        <v>3922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2892</v>
      </c>
      <c r="D43" s="28">
        <f aca="true" t="shared" si="5" ref="D43:D50">C43</f>
        <v>2892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476</v>
      </c>
      <c r="D44" s="28">
        <f t="shared" si="5"/>
        <v>476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5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554</v>
      </c>
      <c r="D46" s="28">
        <f t="shared" si="5"/>
        <v>554</v>
      </c>
      <c r="E46" s="98" t="str">
        <f t="shared" si="3"/>
        <v>-</v>
      </c>
      <c r="F46" s="99">
        <f t="shared" si="1"/>
        <v>1</v>
      </c>
    </row>
    <row r="47" spans="1:6" ht="30" customHeight="1">
      <c r="A47" s="35" t="s">
        <v>27</v>
      </c>
      <c r="B47" s="44" t="s">
        <v>28</v>
      </c>
      <c r="C47" s="79">
        <v>0</v>
      </c>
      <c r="D47" s="28">
        <f t="shared" si="5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4075</v>
      </c>
      <c r="D48" s="28">
        <f t="shared" si="5"/>
        <v>4075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504</v>
      </c>
      <c r="D49" s="28">
        <f t="shared" si="5"/>
        <v>504</v>
      </c>
      <c r="E49" s="98" t="str">
        <f t="shared" si="3"/>
        <v>-</v>
      </c>
      <c r="F49" s="102">
        <f t="shared" si="1"/>
        <v>1</v>
      </c>
    </row>
    <row r="50" spans="1:6" ht="30" customHeight="1">
      <c r="A50" s="35" t="s">
        <v>32</v>
      </c>
      <c r="B50" s="44" t="s">
        <v>33</v>
      </c>
      <c r="C50" s="79">
        <v>292</v>
      </c>
      <c r="D50" s="28">
        <f t="shared" si="5"/>
        <v>292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16523</v>
      </c>
      <c r="D51" s="31">
        <f>SUM(D52:D55)</f>
        <v>9282</v>
      </c>
      <c r="E51" s="11">
        <f t="shared" si="3"/>
        <v>-7241</v>
      </c>
      <c r="F51" s="103">
        <f t="shared" si="1"/>
        <v>0.5618</v>
      </c>
    </row>
    <row r="52" spans="1:6" ht="47.25" customHeight="1">
      <c r="A52" s="35" t="s">
        <v>118</v>
      </c>
      <c r="B52" s="44" t="s">
        <v>143</v>
      </c>
      <c r="C52" s="79">
        <v>15</v>
      </c>
      <c r="D52" s="28">
        <f>C52</f>
        <v>15</v>
      </c>
      <c r="E52" s="79" t="str">
        <f>IF(C52=D52,"-",D52-C52)</f>
        <v>-</v>
      </c>
      <c r="F52" s="99">
        <f t="shared" si="1"/>
        <v>1</v>
      </c>
    </row>
    <row r="53" spans="1:6" ht="30" customHeight="1">
      <c r="A53" s="35" t="s">
        <v>35</v>
      </c>
      <c r="B53" s="44" t="s">
        <v>63</v>
      </c>
      <c r="C53" s="79">
        <v>16058</v>
      </c>
      <c r="D53" s="28">
        <f>C53-7341</f>
        <v>8717</v>
      </c>
      <c r="E53" s="79">
        <f>IF(C53=D53,"-",D53-C53)</f>
        <v>-7341</v>
      </c>
      <c r="F53" s="99">
        <f t="shared" si="1"/>
        <v>0.5428</v>
      </c>
    </row>
    <row r="54" spans="1:6" ht="30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0" customHeight="1">
      <c r="A55" s="35" t="s">
        <v>119</v>
      </c>
      <c r="B55" s="44" t="s">
        <v>121</v>
      </c>
      <c r="C55" s="79">
        <v>450</v>
      </c>
      <c r="D55" s="28">
        <f>C55+100</f>
        <v>550</v>
      </c>
      <c r="E55" s="79">
        <f>IF(C55=D55,"-",D55-C55)</f>
        <v>100</v>
      </c>
      <c r="F55" s="99">
        <f t="shared" si="1"/>
        <v>1.2222</v>
      </c>
    </row>
    <row r="56" spans="1:6" ht="32.25" customHeight="1">
      <c r="A56" s="37" t="s">
        <v>126</v>
      </c>
      <c r="B56" s="49" t="s">
        <v>154</v>
      </c>
      <c r="C56" s="89">
        <v>1244</v>
      </c>
      <c r="D56" s="31">
        <f>C56+956</f>
        <v>2200</v>
      </c>
      <c r="E56" s="11">
        <f>IF(C56=D56,"-",D56-C56)</f>
        <v>956</v>
      </c>
      <c r="F56" s="103">
        <f>IF(C56=0,"-",D56/C56)</f>
        <v>1.7685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J110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7" width="9.125" style="2" customWidth="1"/>
    <col min="8" max="8" width="25.25390625" style="2" customWidth="1"/>
    <col min="9" max="9" width="9.125" style="2" customWidth="1"/>
    <col min="10" max="10" width="17.125" style="2" bestFit="1" customWidth="1"/>
    <col min="11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72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3066546</v>
      </c>
      <c r="D7" s="14">
        <f>D8+D9+D10+D12+D13+D14+D15+D16+D17+D18+D19+D20+D21+D22+D24+D25+D26+D27</f>
        <v>3066546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399421</v>
      </c>
      <c r="D8" s="29">
        <f>C8</f>
        <v>399421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234989</v>
      </c>
      <c r="D9" s="29">
        <f aca="true" t="shared" si="2" ref="D9:D27">C9</f>
        <v>234989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1460861</v>
      </c>
      <c r="D10" s="29">
        <f t="shared" si="2"/>
        <v>1460861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86141</v>
      </c>
      <c r="D11" s="29">
        <f t="shared" si="2"/>
        <v>86141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101227</v>
      </c>
      <c r="D12" s="29">
        <f t="shared" si="2"/>
        <v>101227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77006</v>
      </c>
      <c r="D13" s="29">
        <f t="shared" si="2"/>
        <v>77006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37553</v>
      </c>
      <c r="D14" s="29">
        <f t="shared" si="2"/>
        <v>37553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23661</v>
      </c>
      <c r="D15" s="29">
        <f t="shared" si="2"/>
        <v>23661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97392</v>
      </c>
      <c r="D16" s="29">
        <f t="shared" si="2"/>
        <v>97392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28698</v>
      </c>
      <c r="D17" s="29">
        <f t="shared" si="2"/>
        <v>28698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2270</v>
      </c>
      <c r="D18" s="29">
        <f t="shared" si="2"/>
        <v>2270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8994</v>
      </c>
      <c r="D19" s="29">
        <f t="shared" si="2"/>
        <v>8994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92426</v>
      </c>
      <c r="D20" s="29">
        <f t="shared" si="2"/>
        <v>92426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31695</v>
      </c>
      <c r="D21" s="29">
        <f t="shared" si="2"/>
        <v>31695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470165</v>
      </c>
      <c r="D22" s="29">
        <f t="shared" si="2"/>
        <v>470165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711</v>
      </c>
      <c r="D23" s="29">
        <f t="shared" si="2"/>
        <v>711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188</v>
      </c>
      <c r="D27" s="29">
        <f t="shared" si="2"/>
        <v>188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8">
        <v>106458</v>
      </c>
      <c r="D29" s="91">
        <f>C29</f>
        <v>106458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25397</v>
      </c>
      <c r="D30" s="27">
        <f>D31+D32+D33+D41+D42+D48+D49+D50+D47</f>
        <v>25397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961</v>
      </c>
      <c r="D31" s="28">
        <f>C31</f>
        <v>961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3152</v>
      </c>
      <c r="D32" s="28">
        <f>C32</f>
        <v>3152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186</v>
      </c>
      <c r="D33" s="28">
        <f>D34+D36+D37+D38+D39+D40</f>
        <v>186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24</v>
      </c>
      <c r="D34" s="28">
        <f>C34</f>
        <v>24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24</v>
      </c>
      <c r="D35" s="28">
        <f>C35</f>
        <v>24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5</v>
      </c>
      <c r="D36" s="28">
        <f>C36</f>
        <v>5</v>
      </c>
      <c r="E36" s="98" t="str">
        <f t="shared" si="3"/>
        <v>-</v>
      </c>
      <c r="F36" s="99">
        <f t="shared" si="1"/>
        <v>1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152</v>
      </c>
      <c r="D39" s="28">
        <f t="shared" si="4"/>
        <v>152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5</v>
      </c>
      <c r="D40" s="28">
        <f t="shared" si="4"/>
        <v>5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13747</v>
      </c>
      <c r="D41" s="28">
        <f t="shared" si="4"/>
        <v>13747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2774</v>
      </c>
      <c r="D42" s="28">
        <f>SUM(D43:D46)</f>
        <v>2774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1967</v>
      </c>
      <c r="D43" s="28">
        <f>C43</f>
        <v>1967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322</v>
      </c>
      <c r="D44" s="28">
        <f>C44</f>
        <v>322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485</v>
      </c>
      <c r="D46" s="28">
        <f>C46</f>
        <v>485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4112</v>
      </c>
      <c r="D48" s="28">
        <f t="shared" si="4"/>
        <v>4112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108</v>
      </c>
      <c r="D49" s="28">
        <f>C49</f>
        <v>108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357</v>
      </c>
      <c r="D50" s="28">
        <f>C50</f>
        <v>357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12543</v>
      </c>
      <c r="D51" s="31">
        <f>SUM(D52:D55)</f>
        <v>39087</v>
      </c>
      <c r="E51" s="11">
        <f t="shared" si="3"/>
        <v>26544</v>
      </c>
      <c r="F51" s="103">
        <f t="shared" si="1"/>
        <v>3.1162</v>
      </c>
    </row>
    <row r="52" spans="1:6" ht="47.25" customHeight="1">
      <c r="A52" s="35" t="s">
        <v>118</v>
      </c>
      <c r="B52" s="44" t="s">
        <v>143</v>
      </c>
      <c r="C52" s="86">
        <v>15</v>
      </c>
      <c r="D52" s="28">
        <f>C52</f>
        <v>15</v>
      </c>
      <c r="E52" s="79" t="str">
        <f>IF(C52=D52,"-",D52-C52)</f>
        <v>-</v>
      </c>
      <c r="F52" s="99">
        <f t="shared" si="1"/>
        <v>1</v>
      </c>
    </row>
    <row r="53" spans="1:10" ht="31.5" customHeight="1">
      <c r="A53" s="35" t="s">
        <v>35</v>
      </c>
      <c r="B53" s="44" t="s">
        <v>63</v>
      </c>
      <c r="C53" s="86">
        <v>11884</v>
      </c>
      <c r="D53" s="28">
        <f>C53+50532-24029</f>
        <v>38387</v>
      </c>
      <c r="E53" s="79">
        <f>IF(C53=D53,"-",D53-C53)</f>
        <v>26503</v>
      </c>
      <c r="F53" s="99">
        <f t="shared" si="1"/>
        <v>3.2301</v>
      </c>
      <c r="H53" s="151">
        <f>D53/E63*E66</f>
        <v>24028.04</v>
      </c>
      <c r="J53" s="152">
        <v>24028.4</v>
      </c>
    </row>
    <row r="54" spans="1:10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  <c r="H54" s="123"/>
      <c r="J54" s="152"/>
    </row>
    <row r="55" spans="1:10" ht="31.5" customHeight="1">
      <c r="A55" s="35" t="s">
        <v>119</v>
      </c>
      <c r="B55" s="44" t="s">
        <v>121</v>
      </c>
      <c r="C55" s="86">
        <v>644</v>
      </c>
      <c r="D55" s="28">
        <f>C55+41</f>
        <v>685</v>
      </c>
      <c r="E55" s="79">
        <f>IF(C55=D55,"-",D55-C55)</f>
        <v>41</v>
      </c>
      <c r="F55" s="99">
        <f t="shared" si="1"/>
        <v>1.0637</v>
      </c>
      <c r="H55" s="123"/>
      <c r="J55" s="152"/>
    </row>
    <row r="56" spans="1:10" ht="32.25" customHeight="1">
      <c r="A56" s="37" t="s">
        <v>126</v>
      </c>
      <c r="B56" s="49" t="s">
        <v>154</v>
      </c>
      <c r="C56" s="31">
        <v>906</v>
      </c>
      <c r="D56" s="31">
        <f>C56+39153-15421</f>
        <v>24638</v>
      </c>
      <c r="E56" s="11">
        <f>IF(C56=D56,"-",D56-C56)</f>
        <v>23732</v>
      </c>
      <c r="F56" s="103">
        <f>IF(C56=0,"-",D56/C56)</f>
        <v>27.1943</v>
      </c>
      <c r="H56" s="151">
        <f>D56/E63*E66</f>
        <v>15421.96</v>
      </c>
      <c r="J56" s="152">
        <v>15421.6</v>
      </c>
    </row>
    <row r="57" ht="12.75">
      <c r="J57" s="153"/>
    </row>
    <row r="58" ht="30">
      <c r="H58" s="11"/>
    </row>
    <row r="63" ht="30">
      <c r="E63" s="11">
        <f>D56+D53</f>
        <v>63025</v>
      </c>
    </row>
    <row r="66" ht="30">
      <c r="E66" s="11">
        <v>39450</v>
      </c>
    </row>
    <row r="70" ht="23.25">
      <c r="E70" s="150">
        <f>E66/E63</f>
        <v>0.6259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73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3236954</v>
      </c>
      <c r="D7" s="14">
        <f>D8+D9+D10+D12+D13+D14+D15+D16+D17+D18+D19+D20+D21+D22+D24+D25+D26+D27</f>
        <v>3236954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432900</v>
      </c>
      <c r="D8" s="29">
        <f>C8</f>
        <v>432900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229011</v>
      </c>
      <c r="D9" s="29">
        <f aca="true" t="shared" si="2" ref="D9:D27">C9</f>
        <v>229011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1545360</v>
      </c>
      <c r="D10" s="29">
        <f t="shared" si="2"/>
        <v>1545360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81839</v>
      </c>
      <c r="D11" s="29">
        <f t="shared" si="2"/>
        <v>81839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111672</v>
      </c>
      <c r="D12" s="29">
        <f t="shared" si="2"/>
        <v>111672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92134</v>
      </c>
      <c r="D13" s="29">
        <f t="shared" si="2"/>
        <v>92134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42459</v>
      </c>
      <c r="D14" s="29">
        <f t="shared" si="2"/>
        <v>42459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12849</v>
      </c>
      <c r="D15" s="29">
        <f t="shared" si="2"/>
        <v>12849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114735</v>
      </c>
      <c r="D16" s="29">
        <f t="shared" si="2"/>
        <v>114735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38100</v>
      </c>
      <c r="D17" s="29">
        <f t="shared" si="2"/>
        <v>38100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2500</v>
      </c>
      <c r="D18" s="29">
        <f t="shared" si="2"/>
        <v>2500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7747</v>
      </c>
      <c r="D19" s="29">
        <f t="shared" si="2"/>
        <v>7747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77495</v>
      </c>
      <c r="D20" s="29">
        <f t="shared" si="2"/>
        <v>77495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34500</v>
      </c>
      <c r="D21" s="29">
        <f t="shared" si="2"/>
        <v>34500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483800</v>
      </c>
      <c r="D22" s="29">
        <f t="shared" si="2"/>
        <v>483800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2000</v>
      </c>
      <c r="D23" s="29">
        <f t="shared" si="2"/>
        <v>2000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11692</v>
      </c>
      <c r="D27" s="29">
        <f t="shared" si="2"/>
        <v>11692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109706</v>
      </c>
      <c r="D29" s="91">
        <f>C29</f>
        <v>109706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24974</v>
      </c>
      <c r="D30" s="27">
        <f>D31+D32+D33+D41+D42+D48+D49+D50+D47</f>
        <v>24974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752</v>
      </c>
      <c r="D31" s="28">
        <f aca="true" t="shared" si="3" ref="D31:D40">C31</f>
        <v>752</v>
      </c>
      <c r="E31" s="98" t="str">
        <f aca="true" t="shared" si="4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2246</v>
      </c>
      <c r="D32" s="28">
        <f t="shared" si="3"/>
        <v>2246</v>
      </c>
      <c r="E32" s="98" t="str">
        <f t="shared" si="4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216</v>
      </c>
      <c r="D33" s="28">
        <f>D34+D36+D37+D38+D39+D40</f>
        <v>216</v>
      </c>
      <c r="E33" s="98" t="str">
        <f t="shared" si="4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26</v>
      </c>
      <c r="D34" s="28">
        <f t="shared" si="3"/>
        <v>26</v>
      </c>
      <c r="E34" s="98" t="str">
        <f t="shared" si="4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26</v>
      </c>
      <c r="D35" s="28">
        <f t="shared" si="3"/>
        <v>26</v>
      </c>
      <c r="E35" s="98" t="str">
        <f t="shared" si="4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0</v>
      </c>
      <c r="D36" s="28">
        <f t="shared" si="3"/>
        <v>0</v>
      </c>
      <c r="E36" s="98" t="str">
        <f t="shared" si="4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t="shared" si="3"/>
        <v>0</v>
      </c>
      <c r="E37" s="98" t="str">
        <f t="shared" si="4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3"/>
        <v>0</v>
      </c>
      <c r="E38" s="98" t="str">
        <f t="shared" si="4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177</v>
      </c>
      <c r="D39" s="28">
        <f t="shared" si="3"/>
        <v>177</v>
      </c>
      <c r="E39" s="98" t="str">
        <f t="shared" si="4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13</v>
      </c>
      <c r="D40" s="28">
        <f t="shared" si="3"/>
        <v>13</v>
      </c>
      <c r="E40" s="98" t="str">
        <f t="shared" si="4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14274</v>
      </c>
      <c r="D41" s="28">
        <f>C41</f>
        <v>14274</v>
      </c>
      <c r="E41" s="98" t="str">
        <f t="shared" si="4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2879</v>
      </c>
      <c r="D42" s="28">
        <f>SUM(D43:D46)</f>
        <v>2879</v>
      </c>
      <c r="E42" s="98" t="str">
        <f t="shared" si="4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2168</v>
      </c>
      <c r="D43" s="28">
        <f aca="true" t="shared" si="5" ref="D43:D50">C43</f>
        <v>2168</v>
      </c>
      <c r="E43" s="98" t="str">
        <f t="shared" si="4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350</v>
      </c>
      <c r="D44" s="28">
        <f t="shared" si="5"/>
        <v>350</v>
      </c>
      <c r="E44" s="98" t="str">
        <f t="shared" si="4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5"/>
        <v>0</v>
      </c>
      <c r="E45" s="98" t="str">
        <f t="shared" si="4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361</v>
      </c>
      <c r="D46" s="28">
        <f t="shared" si="5"/>
        <v>361</v>
      </c>
      <c r="E46" s="98" t="str">
        <f t="shared" si="4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5"/>
        <v>0</v>
      </c>
      <c r="E47" s="98" t="str">
        <f t="shared" si="4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3600</v>
      </c>
      <c r="D48" s="28">
        <f t="shared" si="5"/>
        <v>3600</v>
      </c>
      <c r="E48" s="98" t="str">
        <f t="shared" si="4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700</v>
      </c>
      <c r="D49" s="28">
        <f t="shared" si="5"/>
        <v>700</v>
      </c>
      <c r="E49" s="98" t="str">
        <f t="shared" si="4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307</v>
      </c>
      <c r="D50" s="28">
        <f t="shared" si="5"/>
        <v>307</v>
      </c>
      <c r="E50" s="98" t="str">
        <f t="shared" si="4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12419</v>
      </c>
      <c r="D51" s="31">
        <f>SUM(D52:D55)</f>
        <v>21419</v>
      </c>
      <c r="E51" s="11">
        <f t="shared" si="4"/>
        <v>9000</v>
      </c>
      <c r="F51" s="103">
        <f t="shared" si="1"/>
        <v>1.7247</v>
      </c>
    </row>
    <row r="52" spans="1:6" ht="47.25" customHeight="1">
      <c r="A52" s="35" t="s">
        <v>118</v>
      </c>
      <c r="B52" s="44" t="s">
        <v>143</v>
      </c>
      <c r="C52" s="86">
        <v>10</v>
      </c>
      <c r="D52" s="28">
        <f>C52</f>
        <v>10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86">
        <v>12109</v>
      </c>
      <c r="D53" s="28">
        <f>C53+9000</f>
        <v>21109</v>
      </c>
      <c r="E53" s="79">
        <f>IF(C53=D53,"-",D53-C53)</f>
        <v>9000</v>
      </c>
      <c r="F53" s="99">
        <f t="shared" si="1"/>
        <v>1.7432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300</v>
      </c>
      <c r="D55" s="28">
        <f>C55</f>
        <v>300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11048</v>
      </c>
      <c r="D56" s="31">
        <f>C56-9000</f>
        <v>2048</v>
      </c>
      <c r="E56" s="11">
        <f>IF(C56=D56,"-",D56-C56)</f>
        <v>-9000</v>
      </c>
      <c r="F56" s="103">
        <f>IF(C56=0,"-",D56/C56)</f>
        <v>0.1854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74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1478151</v>
      </c>
      <c r="D7" s="14">
        <f>D8+D9+D10+D12+D13+D14+D15+D16+D17+D18+D19+D20+D21+D22+D24+D25+D26+D27</f>
        <v>1478151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195880</v>
      </c>
      <c r="D8" s="29">
        <f>C8</f>
        <v>195880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114998</v>
      </c>
      <c r="D9" s="29">
        <f aca="true" t="shared" si="2" ref="D9:D27">C9</f>
        <v>114998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687315</v>
      </c>
      <c r="D10" s="29">
        <f t="shared" si="2"/>
        <v>687315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37517</v>
      </c>
      <c r="D11" s="29">
        <f t="shared" si="2"/>
        <v>37517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75852</v>
      </c>
      <c r="D12" s="29">
        <f t="shared" si="2"/>
        <v>75852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45804</v>
      </c>
      <c r="D13" s="29">
        <f t="shared" si="2"/>
        <v>45804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21820</v>
      </c>
      <c r="D14" s="29">
        <f t="shared" si="2"/>
        <v>21820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9188</v>
      </c>
      <c r="D15" s="29">
        <f t="shared" si="2"/>
        <v>9188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42277</v>
      </c>
      <c r="D16" s="29">
        <f t="shared" si="2"/>
        <v>42277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11460</v>
      </c>
      <c r="D17" s="29">
        <f t="shared" si="2"/>
        <v>11460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2200</v>
      </c>
      <c r="D18" s="29">
        <f t="shared" si="2"/>
        <v>2200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4939</v>
      </c>
      <c r="D19" s="29">
        <f t="shared" si="2"/>
        <v>4939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38248</v>
      </c>
      <c r="D20" s="29">
        <f t="shared" si="2"/>
        <v>38248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17200</v>
      </c>
      <c r="D21" s="29">
        <f t="shared" si="2"/>
        <v>17200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203591</v>
      </c>
      <c r="D22" s="29">
        <f t="shared" si="2"/>
        <v>203591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400</v>
      </c>
      <c r="D23" s="29">
        <f t="shared" si="2"/>
        <v>400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7379</v>
      </c>
      <c r="D27" s="29">
        <f t="shared" si="2"/>
        <v>7379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92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63514</v>
      </c>
      <c r="D29" s="91">
        <f>C29</f>
        <v>63514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16430</v>
      </c>
      <c r="D30" s="27">
        <f>D31+D32+D33+D41+D42+D48+D49+D50+D47</f>
        <v>16430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86">
        <v>621</v>
      </c>
      <c r="D31" s="28">
        <f>C31</f>
        <v>621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86">
        <v>1803</v>
      </c>
      <c r="D32" s="28">
        <f>C32</f>
        <v>1803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127</v>
      </c>
      <c r="D33" s="28">
        <f>D34+D36+D37+D38+D39+D40</f>
        <v>127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86">
        <v>27</v>
      </c>
      <c r="D34" s="28">
        <f>C34</f>
        <v>27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86">
        <v>27</v>
      </c>
      <c r="D35" s="28">
        <f>C35</f>
        <v>27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86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86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86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86">
        <v>100</v>
      </c>
      <c r="D39" s="28">
        <f t="shared" si="4"/>
        <v>100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86">
        <v>0</v>
      </c>
      <c r="D40" s="28">
        <f t="shared" si="4"/>
        <v>0</v>
      </c>
      <c r="E40" s="98" t="str">
        <f t="shared" si="3"/>
        <v>-</v>
      </c>
      <c r="F40" s="99" t="str">
        <f t="shared" si="1"/>
        <v>-</v>
      </c>
    </row>
    <row r="41" spans="1:6" ht="28.5" customHeight="1">
      <c r="A41" s="35" t="s">
        <v>24</v>
      </c>
      <c r="B41" s="44" t="s">
        <v>25</v>
      </c>
      <c r="C41" s="28">
        <v>7969</v>
      </c>
      <c r="D41" s="28">
        <f t="shared" si="4"/>
        <v>7969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1613</v>
      </c>
      <c r="D42" s="28">
        <f>SUM(D43:D46)</f>
        <v>1613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1210</v>
      </c>
      <c r="D43" s="28">
        <f>C43</f>
        <v>1210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195</v>
      </c>
      <c r="D44" s="28">
        <f>C44</f>
        <v>195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208</v>
      </c>
      <c r="D46" s="28">
        <f>C46</f>
        <v>208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86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3656</v>
      </c>
      <c r="D48" s="28">
        <f t="shared" si="4"/>
        <v>3656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388</v>
      </c>
      <c r="D49" s="28">
        <f>C49</f>
        <v>388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86">
        <v>253</v>
      </c>
      <c r="D50" s="28">
        <f>C50</f>
        <v>253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9050</v>
      </c>
      <c r="D51" s="31">
        <f>SUM(D52:D55)</f>
        <v>8906</v>
      </c>
      <c r="E51" s="11">
        <f t="shared" si="3"/>
        <v>-144</v>
      </c>
      <c r="F51" s="103">
        <f t="shared" si="1"/>
        <v>0.9841</v>
      </c>
    </row>
    <row r="52" spans="1:6" ht="47.25" customHeight="1">
      <c r="A52" s="35" t="s">
        <v>118</v>
      </c>
      <c r="B52" s="44" t="s">
        <v>143</v>
      </c>
      <c r="C52" s="86">
        <v>750</v>
      </c>
      <c r="D52" s="28">
        <f>C52-94</f>
        <v>656</v>
      </c>
      <c r="E52" s="79">
        <f>IF(C52=D52,"-",D52-C52)</f>
        <v>-94</v>
      </c>
      <c r="F52" s="99">
        <f t="shared" si="1"/>
        <v>0.8747</v>
      </c>
    </row>
    <row r="53" spans="1:6" ht="31.5" customHeight="1">
      <c r="A53" s="35" t="s">
        <v>35</v>
      </c>
      <c r="B53" s="44" t="s">
        <v>63</v>
      </c>
      <c r="C53" s="86">
        <v>4900</v>
      </c>
      <c r="D53" s="28">
        <f>C53-50</f>
        <v>4850</v>
      </c>
      <c r="E53" s="79">
        <f>IF(C53=D53,"-",D53-C53)</f>
        <v>-50</v>
      </c>
      <c r="F53" s="99">
        <f t="shared" si="1"/>
        <v>0.9898</v>
      </c>
    </row>
    <row r="54" spans="1:6" ht="31.5" customHeight="1">
      <c r="A54" s="35" t="s">
        <v>36</v>
      </c>
      <c r="B54" s="44" t="s">
        <v>120</v>
      </c>
      <c r="C54" s="86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86">
        <v>3400</v>
      </c>
      <c r="D55" s="28">
        <f>C55</f>
        <v>3400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31">
        <v>170</v>
      </c>
      <c r="D56" s="31">
        <f>C56+50</f>
        <v>220</v>
      </c>
      <c r="E56" s="11">
        <f>IF(C56=D56,"-",D56-C56)</f>
        <v>50</v>
      </c>
      <c r="F56" s="103">
        <f>IF(C56=0,"-",D56/C56)</f>
        <v>1.2941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75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3956470</v>
      </c>
      <c r="D7" s="14">
        <f>D8+D9+D10+D12+D13+D14+D15+D16+D17+D18+D19+D20+D21+D22+D24+D25+D26+D27</f>
        <v>3956470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499399</v>
      </c>
      <c r="D8" s="29">
        <f>C8</f>
        <v>499399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278272</v>
      </c>
      <c r="D9" s="29">
        <f aca="true" t="shared" si="2" ref="D9:D22">C9</f>
        <v>278272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1907846</v>
      </c>
      <c r="D10" s="29">
        <f t="shared" si="2"/>
        <v>1907846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101124</v>
      </c>
      <c r="D11" s="29">
        <f t="shared" si="2"/>
        <v>101124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136275</v>
      </c>
      <c r="D12" s="29">
        <f t="shared" si="2"/>
        <v>136275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108668</v>
      </c>
      <c r="D13" s="29">
        <f t="shared" si="2"/>
        <v>108668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48312</v>
      </c>
      <c r="D14" s="29">
        <f t="shared" si="2"/>
        <v>48312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18738</v>
      </c>
      <c r="D15" s="29">
        <f t="shared" si="2"/>
        <v>18738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120205</v>
      </c>
      <c r="D16" s="29">
        <f t="shared" si="2"/>
        <v>120205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45804</v>
      </c>
      <c r="D17" s="29">
        <f t="shared" si="2"/>
        <v>45804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2075</v>
      </c>
      <c r="D18" s="29">
        <f t="shared" si="2"/>
        <v>2075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11055</v>
      </c>
      <c r="D19" s="29">
        <f t="shared" si="2"/>
        <v>11055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95313</v>
      </c>
      <c r="D20" s="29">
        <f t="shared" si="2"/>
        <v>95313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39500</v>
      </c>
      <c r="D21" s="29">
        <f t="shared" si="2"/>
        <v>39500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638298</v>
      </c>
      <c r="D22" s="29">
        <f t="shared" si="2"/>
        <v>638298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700</v>
      </c>
      <c r="D23" s="29">
        <f aca="true" t="shared" si="3" ref="D23:D29">C23</f>
        <v>700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3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3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3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6710</v>
      </c>
      <c r="D27" s="29">
        <f t="shared" si="3"/>
        <v>6710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v>0</v>
      </c>
      <c r="D28" s="91">
        <f t="shared" si="3"/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117197</v>
      </c>
      <c r="D29" s="91">
        <f t="shared" si="3"/>
        <v>117197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27418</v>
      </c>
      <c r="D30" s="27">
        <f>D31+D32+D33+D41+D42+D48+D49+D50+D47</f>
        <v>27418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920</v>
      </c>
      <c r="D31" s="28">
        <f>C31</f>
        <v>920</v>
      </c>
      <c r="E31" s="98" t="str">
        <f aca="true" t="shared" si="4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3675</v>
      </c>
      <c r="D32" s="28">
        <f>C32</f>
        <v>3675</v>
      </c>
      <c r="E32" s="98" t="str">
        <f t="shared" si="4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278</v>
      </c>
      <c r="D33" s="28">
        <f>D34+D36+D37+D38+D39+D40</f>
        <v>278</v>
      </c>
      <c r="E33" s="98" t="str">
        <f t="shared" si="4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10</v>
      </c>
      <c r="D34" s="28">
        <f>C34</f>
        <v>10</v>
      </c>
      <c r="E34" s="98" t="str">
        <f t="shared" si="4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10</v>
      </c>
      <c r="D35" s="28">
        <f>C35</f>
        <v>10</v>
      </c>
      <c r="E35" s="98" t="str">
        <f t="shared" si="4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0</v>
      </c>
      <c r="D36" s="28">
        <f>C36</f>
        <v>0</v>
      </c>
      <c r="E36" s="98" t="str">
        <f t="shared" si="4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5" ref="D37:D49">C37</f>
        <v>0</v>
      </c>
      <c r="E37" s="98" t="str">
        <f t="shared" si="4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5"/>
        <v>0</v>
      </c>
      <c r="E38" s="98" t="str">
        <f t="shared" si="4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265</v>
      </c>
      <c r="D39" s="28">
        <f t="shared" si="5"/>
        <v>265</v>
      </c>
      <c r="E39" s="98" t="str">
        <f t="shared" si="4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3</v>
      </c>
      <c r="D40" s="28">
        <f t="shared" si="5"/>
        <v>3</v>
      </c>
      <c r="E40" s="98" t="str">
        <f t="shared" si="4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16636</v>
      </c>
      <c r="D41" s="28">
        <f t="shared" si="5"/>
        <v>16636</v>
      </c>
      <c r="E41" s="98" t="str">
        <f t="shared" si="4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3357</v>
      </c>
      <c r="D42" s="28">
        <f>SUM(D43:D46)</f>
        <v>3357</v>
      </c>
      <c r="E42" s="98" t="str">
        <f t="shared" si="4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2527</v>
      </c>
      <c r="D43" s="28">
        <f>C43</f>
        <v>2527</v>
      </c>
      <c r="E43" s="98" t="str">
        <f t="shared" si="4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408</v>
      </c>
      <c r="D44" s="28">
        <f>C44</f>
        <v>408</v>
      </c>
      <c r="E44" s="98" t="str">
        <f t="shared" si="4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5"/>
        <v>0</v>
      </c>
      <c r="E45" s="98" t="str">
        <f t="shared" si="4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422</v>
      </c>
      <c r="D46" s="28">
        <f>C46</f>
        <v>422</v>
      </c>
      <c r="E46" s="98" t="str">
        <f t="shared" si="4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5"/>
        <v>0</v>
      </c>
      <c r="E47" s="98" t="str">
        <f t="shared" si="4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2206</v>
      </c>
      <c r="D48" s="28">
        <f t="shared" si="5"/>
        <v>2206</v>
      </c>
      <c r="E48" s="98" t="str">
        <f t="shared" si="4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170</v>
      </c>
      <c r="D49" s="28">
        <f t="shared" si="5"/>
        <v>170</v>
      </c>
      <c r="E49" s="98" t="str">
        <f t="shared" si="4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79">
        <v>176</v>
      </c>
      <c r="D50" s="28">
        <f>C50</f>
        <v>176</v>
      </c>
      <c r="E50" s="98" t="str">
        <f t="shared" si="4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14456</v>
      </c>
      <c r="D51" s="31">
        <f>SUM(D52:D55)</f>
        <v>4790</v>
      </c>
      <c r="E51" s="11">
        <f t="shared" si="4"/>
        <v>-9666</v>
      </c>
      <c r="F51" s="103">
        <f t="shared" si="1"/>
        <v>0.3314</v>
      </c>
    </row>
    <row r="52" spans="1:6" ht="47.25" customHeight="1">
      <c r="A52" s="35" t="s">
        <v>118</v>
      </c>
      <c r="B52" s="44" t="s">
        <v>143</v>
      </c>
      <c r="C52" s="79">
        <v>16</v>
      </c>
      <c r="D52" s="28">
        <f>C52-6</f>
        <v>10</v>
      </c>
      <c r="E52" s="79">
        <f>IF(C52=D52,"-",D52-C52)</f>
        <v>-6</v>
      </c>
      <c r="F52" s="99">
        <f t="shared" si="1"/>
        <v>0.625</v>
      </c>
    </row>
    <row r="53" spans="1:6" ht="31.5" customHeight="1">
      <c r="A53" s="35" t="s">
        <v>35</v>
      </c>
      <c r="B53" s="44" t="s">
        <v>63</v>
      </c>
      <c r="C53" s="79">
        <v>14260</v>
      </c>
      <c r="D53" s="28">
        <f>C53-9660</f>
        <v>4600</v>
      </c>
      <c r="E53" s="79">
        <f>IF(C53=D53,"-",D53-C53)</f>
        <v>-9660</v>
      </c>
      <c r="F53" s="99">
        <f t="shared" si="1"/>
        <v>0.3226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180</v>
      </c>
      <c r="D55" s="28">
        <f>C55</f>
        <v>180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89">
        <v>280</v>
      </c>
      <c r="D56" s="31">
        <f>C56+220</f>
        <v>500</v>
      </c>
      <c r="E56" s="11">
        <f>IF(C56=D56,"-",D56-C56)</f>
        <v>220</v>
      </c>
      <c r="F56" s="103">
        <f>IF(C56=0,"-",D56/C56)</f>
        <v>1.7857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F110"/>
  <sheetViews>
    <sheetView showGridLines="0" view="pageBreakPreview" zoomScale="55" zoomScaleNormal="70" zoomScaleSheetLayoutView="55" zoomScalePageLayoutView="0" workbookViewId="0" topLeftCell="A1">
      <pane xSplit="1" ySplit="7" topLeftCell="B38" activePane="bottomRight" state="frozen"/>
      <selection pane="topLeft" activeCell="G1" sqref="G1:H16384"/>
      <selection pane="topRight" activeCell="G1" sqref="G1:H16384"/>
      <selection pane="bottomLeft" activeCell="G1" sqref="G1:H16384"/>
      <selection pane="bottomRight" activeCell="G1" sqref="G1:H16384"/>
    </sheetView>
  </sheetViews>
  <sheetFormatPr defaultColWidth="9.00390625" defaultRowHeight="12.75"/>
  <cols>
    <col min="1" max="1" width="11.75390625" style="2" customWidth="1"/>
    <col min="2" max="2" width="115.125" style="2" customWidth="1"/>
    <col min="3" max="6" width="22.75390625" style="2" customWidth="1"/>
    <col min="7" max="16384" width="9.125" style="2" customWidth="1"/>
  </cols>
  <sheetData>
    <row r="1" spans="1:6" s="121" customFormat="1" ht="33.75" customHeight="1">
      <c r="A1" s="155" t="str">
        <f>NFZ!A1</f>
        <v>Zmiana planu finansowego Narodowego Funduszu Zdrowia na 2011 r. z dnia 29 grudnia 2011 r.</v>
      </c>
      <c r="B1" s="155"/>
      <c r="C1" s="155"/>
      <c r="D1" s="155"/>
      <c r="E1" s="155"/>
      <c r="F1" s="155"/>
    </row>
    <row r="2" spans="1:3" s="53" customFormat="1" ht="33.75" customHeight="1">
      <c r="A2" s="164" t="s">
        <v>76</v>
      </c>
      <c r="B2" s="164"/>
      <c r="C2" s="164"/>
    </row>
    <row r="3" spans="1:6" ht="30" customHeight="1">
      <c r="A3" s="1"/>
      <c r="B3" s="78"/>
      <c r="C3" s="95"/>
      <c r="D3" s="95"/>
      <c r="E3" s="95"/>
      <c r="F3" s="95" t="s">
        <v>193</v>
      </c>
    </row>
    <row r="4" spans="1:6" s="6" customFormat="1" ht="49.5" customHeight="1">
      <c r="A4" s="166" t="s">
        <v>158</v>
      </c>
      <c r="B4" s="165" t="s">
        <v>62</v>
      </c>
      <c r="C4" s="162" t="str">
        <f>Dolnośląski!C4</f>
        <v>Plan na
2011 rok</v>
      </c>
      <c r="D4" s="162" t="s">
        <v>194</v>
      </c>
      <c r="E4" s="156" t="s">
        <v>195</v>
      </c>
      <c r="F4" s="156" t="s">
        <v>196</v>
      </c>
    </row>
    <row r="5" spans="1:6" s="6" customFormat="1" ht="49.5" customHeight="1">
      <c r="A5" s="165"/>
      <c r="B5" s="165"/>
      <c r="C5" s="163"/>
      <c r="D5" s="163"/>
      <c r="E5" s="156"/>
      <c r="F5" s="156"/>
    </row>
    <row r="6" spans="1:6" s="4" customFormat="1" ht="14.25">
      <c r="A6" s="24">
        <v>1</v>
      </c>
      <c r="B6" s="25">
        <v>2</v>
      </c>
      <c r="C6" s="25" t="s">
        <v>87</v>
      </c>
      <c r="D6" s="25" t="s">
        <v>197</v>
      </c>
      <c r="E6" s="25" t="s">
        <v>198</v>
      </c>
      <c r="F6" s="25" t="s">
        <v>199</v>
      </c>
    </row>
    <row r="7" spans="1:6" s="3" customFormat="1" ht="30" customHeight="1">
      <c r="A7" s="26" t="s">
        <v>0</v>
      </c>
      <c r="B7" s="43" t="s">
        <v>142</v>
      </c>
      <c r="C7" s="14">
        <f>C8+C9+C10+C12+C13+C14+C15+C16+C17+C18+C19+C20+C21+C22+C24+C25+C26+C27</f>
        <v>4746845</v>
      </c>
      <c r="D7" s="14">
        <f>D8+D9+D10+D12+D13+D14+D15+D16+D17+D18+D19+D20+D21+D22+D24+D25+D26+D27</f>
        <v>4746845</v>
      </c>
      <c r="E7" s="11" t="str">
        <f>IF(C7=D7,"-",D7-C7)</f>
        <v>-</v>
      </c>
      <c r="F7" s="97">
        <f>IF(C7=0,"-",D7/C7)</f>
        <v>1</v>
      </c>
    </row>
    <row r="8" spans="1:6" ht="31.5" customHeight="1">
      <c r="A8" s="33" t="s">
        <v>1</v>
      </c>
      <c r="B8" s="80" t="s">
        <v>159</v>
      </c>
      <c r="C8" s="86">
        <v>619796</v>
      </c>
      <c r="D8" s="29">
        <f>C8</f>
        <v>619796</v>
      </c>
      <c r="E8" s="98" t="str">
        <f aca="true" t="shared" si="0" ref="E8:E29">IF(C8=D8,"-",D8-C8)</f>
        <v>-</v>
      </c>
      <c r="F8" s="99">
        <f aca="true" t="shared" si="1" ref="F8:F55">IF(C8=0,"-",D8/C8)</f>
        <v>1</v>
      </c>
    </row>
    <row r="9" spans="1:6" ht="31.5" customHeight="1">
      <c r="A9" s="33" t="s">
        <v>2</v>
      </c>
      <c r="B9" s="80" t="s">
        <v>160</v>
      </c>
      <c r="C9" s="86">
        <v>347395</v>
      </c>
      <c r="D9" s="29">
        <f aca="true" t="shared" si="2" ref="D9:D27">C9</f>
        <v>347395</v>
      </c>
      <c r="E9" s="98" t="str">
        <f t="shared" si="0"/>
        <v>-</v>
      </c>
      <c r="F9" s="99">
        <f t="shared" si="1"/>
        <v>1</v>
      </c>
    </row>
    <row r="10" spans="1:6" ht="31.5" customHeight="1">
      <c r="A10" s="33" t="s">
        <v>3</v>
      </c>
      <c r="B10" s="80" t="s">
        <v>157</v>
      </c>
      <c r="C10" s="86">
        <v>2198012</v>
      </c>
      <c r="D10" s="29">
        <f t="shared" si="2"/>
        <v>2198012</v>
      </c>
      <c r="E10" s="98" t="str">
        <f t="shared" si="0"/>
        <v>-</v>
      </c>
      <c r="F10" s="99">
        <f t="shared" si="1"/>
        <v>1</v>
      </c>
    </row>
    <row r="11" spans="1:6" ht="31.5" customHeight="1">
      <c r="A11" s="81" t="s">
        <v>64</v>
      </c>
      <c r="B11" s="38" t="s">
        <v>65</v>
      </c>
      <c r="C11" s="86">
        <v>161380</v>
      </c>
      <c r="D11" s="29">
        <f t="shared" si="2"/>
        <v>161380</v>
      </c>
      <c r="E11" s="98" t="str">
        <f t="shared" si="0"/>
        <v>-</v>
      </c>
      <c r="F11" s="99">
        <f t="shared" si="1"/>
        <v>1</v>
      </c>
    </row>
    <row r="12" spans="1:6" ht="31.5" customHeight="1">
      <c r="A12" s="33" t="s">
        <v>4</v>
      </c>
      <c r="B12" s="80" t="s">
        <v>166</v>
      </c>
      <c r="C12" s="86">
        <v>143847</v>
      </c>
      <c r="D12" s="29">
        <f t="shared" si="2"/>
        <v>143847</v>
      </c>
      <c r="E12" s="98" t="str">
        <f t="shared" si="0"/>
        <v>-</v>
      </c>
      <c r="F12" s="99">
        <f t="shared" si="1"/>
        <v>1</v>
      </c>
    </row>
    <row r="13" spans="1:6" ht="31.5" customHeight="1">
      <c r="A13" s="33" t="s">
        <v>5</v>
      </c>
      <c r="B13" s="80" t="s">
        <v>161</v>
      </c>
      <c r="C13" s="86">
        <v>144686</v>
      </c>
      <c r="D13" s="29">
        <f t="shared" si="2"/>
        <v>144686</v>
      </c>
      <c r="E13" s="98" t="str">
        <f t="shared" si="0"/>
        <v>-</v>
      </c>
      <c r="F13" s="99">
        <f t="shared" si="1"/>
        <v>1</v>
      </c>
    </row>
    <row r="14" spans="1:6" ht="31.5" customHeight="1">
      <c r="A14" s="33" t="s">
        <v>6</v>
      </c>
      <c r="B14" s="80" t="s">
        <v>170</v>
      </c>
      <c r="C14" s="86">
        <v>97879</v>
      </c>
      <c r="D14" s="29">
        <f t="shared" si="2"/>
        <v>97879</v>
      </c>
      <c r="E14" s="98" t="str">
        <f t="shared" si="0"/>
        <v>-</v>
      </c>
      <c r="F14" s="99">
        <f t="shared" si="1"/>
        <v>1</v>
      </c>
    </row>
    <row r="15" spans="1:6" ht="31.5" customHeight="1">
      <c r="A15" s="33" t="s">
        <v>7</v>
      </c>
      <c r="B15" s="80" t="s">
        <v>169</v>
      </c>
      <c r="C15" s="86">
        <v>24309</v>
      </c>
      <c r="D15" s="29">
        <f t="shared" si="2"/>
        <v>24309</v>
      </c>
      <c r="E15" s="98" t="str">
        <f>IF(C15=D15,"-",D15-C15)</f>
        <v>-</v>
      </c>
      <c r="F15" s="99">
        <f>IF(C15=0,"-",D15/C15)</f>
        <v>1</v>
      </c>
    </row>
    <row r="16" spans="1:6" ht="31.5" customHeight="1">
      <c r="A16" s="33" t="s">
        <v>8</v>
      </c>
      <c r="B16" s="80" t="s">
        <v>162</v>
      </c>
      <c r="C16" s="86">
        <v>166687</v>
      </c>
      <c r="D16" s="29">
        <f t="shared" si="2"/>
        <v>166687</v>
      </c>
      <c r="E16" s="98" t="str">
        <f t="shared" si="0"/>
        <v>-</v>
      </c>
      <c r="F16" s="99">
        <f t="shared" si="1"/>
        <v>1</v>
      </c>
    </row>
    <row r="17" spans="1:6" ht="31.5" customHeight="1">
      <c r="A17" s="33" t="s">
        <v>9</v>
      </c>
      <c r="B17" s="80" t="s">
        <v>163</v>
      </c>
      <c r="C17" s="86">
        <v>43334</v>
      </c>
      <c r="D17" s="29">
        <f t="shared" si="2"/>
        <v>43334</v>
      </c>
      <c r="E17" s="98" t="str">
        <f t="shared" si="0"/>
        <v>-</v>
      </c>
      <c r="F17" s="99">
        <f t="shared" si="1"/>
        <v>1</v>
      </c>
    </row>
    <row r="18" spans="1:6" ht="31.5" customHeight="1">
      <c r="A18" s="33" t="s">
        <v>10</v>
      </c>
      <c r="B18" s="80" t="s">
        <v>171</v>
      </c>
      <c r="C18" s="86">
        <v>1701</v>
      </c>
      <c r="D18" s="29">
        <f t="shared" si="2"/>
        <v>1701</v>
      </c>
      <c r="E18" s="98" t="str">
        <f t="shared" si="0"/>
        <v>-</v>
      </c>
      <c r="F18" s="99">
        <f t="shared" si="1"/>
        <v>1</v>
      </c>
    </row>
    <row r="19" spans="1:6" ht="46.5" customHeight="1">
      <c r="A19" s="33" t="s">
        <v>11</v>
      </c>
      <c r="B19" s="80" t="s">
        <v>164</v>
      </c>
      <c r="C19" s="86">
        <v>8950</v>
      </c>
      <c r="D19" s="29">
        <f t="shared" si="2"/>
        <v>8950</v>
      </c>
      <c r="E19" s="98" t="str">
        <f t="shared" si="0"/>
        <v>-</v>
      </c>
      <c r="F19" s="99">
        <f t="shared" si="1"/>
        <v>1</v>
      </c>
    </row>
    <row r="20" spans="1:6" ht="31.5" customHeight="1">
      <c r="A20" s="33" t="s">
        <v>12</v>
      </c>
      <c r="B20" s="80" t="s">
        <v>165</v>
      </c>
      <c r="C20" s="86">
        <v>125789</v>
      </c>
      <c r="D20" s="29">
        <f t="shared" si="2"/>
        <v>125789</v>
      </c>
      <c r="E20" s="98" t="str">
        <f t="shared" si="0"/>
        <v>-</v>
      </c>
      <c r="F20" s="99">
        <f t="shared" si="1"/>
        <v>1</v>
      </c>
    </row>
    <row r="21" spans="1:6" ht="31.5" customHeight="1">
      <c r="A21" s="33" t="s">
        <v>14</v>
      </c>
      <c r="B21" s="39" t="s">
        <v>13</v>
      </c>
      <c r="C21" s="86">
        <v>54200</v>
      </c>
      <c r="D21" s="29">
        <f t="shared" si="2"/>
        <v>54200</v>
      </c>
      <c r="E21" s="98" t="str">
        <f t="shared" si="0"/>
        <v>-</v>
      </c>
      <c r="F21" s="99">
        <f t="shared" si="1"/>
        <v>1</v>
      </c>
    </row>
    <row r="22" spans="1:6" ht="31.5" customHeight="1">
      <c r="A22" s="34" t="s">
        <v>15</v>
      </c>
      <c r="B22" s="80" t="s">
        <v>167</v>
      </c>
      <c r="C22" s="86">
        <v>769000</v>
      </c>
      <c r="D22" s="29">
        <f t="shared" si="2"/>
        <v>769000</v>
      </c>
      <c r="E22" s="98" t="str">
        <f t="shared" si="0"/>
        <v>-</v>
      </c>
      <c r="F22" s="99">
        <f t="shared" si="1"/>
        <v>1</v>
      </c>
    </row>
    <row r="23" spans="1:6" ht="31.5" customHeight="1">
      <c r="A23" s="32" t="s">
        <v>172</v>
      </c>
      <c r="B23" s="38" t="s">
        <v>66</v>
      </c>
      <c r="C23" s="86">
        <v>4000</v>
      </c>
      <c r="D23" s="29">
        <f t="shared" si="2"/>
        <v>4000</v>
      </c>
      <c r="E23" s="98" t="str">
        <f t="shared" si="0"/>
        <v>-</v>
      </c>
      <c r="F23" s="99">
        <f t="shared" si="1"/>
        <v>1</v>
      </c>
    </row>
    <row r="24" spans="1:6" ht="31.5" customHeight="1">
      <c r="A24" s="35" t="s">
        <v>16</v>
      </c>
      <c r="B24" s="40" t="s">
        <v>139</v>
      </c>
      <c r="C24" s="86">
        <v>0</v>
      </c>
      <c r="D24" s="29">
        <f t="shared" si="2"/>
        <v>0</v>
      </c>
      <c r="E24" s="98" t="str">
        <f>IF(C24=D24,"-",D24-C24)</f>
        <v>-</v>
      </c>
      <c r="F24" s="99" t="str">
        <f>IF(C24=0,"-",D24/C24)</f>
        <v>-</v>
      </c>
    </row>
    <row r="25" spans="1:6" ht="31.5" customHeight="1">
      <c r="A25" s="35" t="s">
        <v>136</v>
      </c>
      <c r="B25" s="41" t="s">
        <v>60</v>
      </c>
      <c r="C25" s="86">
        <v>0</v>
      </c>
      <c r="D25" s="29">
        <f t="shared" si="2"/>
        <v>0</v>
      </c>
      <c r="E25" s="98" t="str">
        <f>IF(C25=D25,"-",D25-C25)</f>
        <v>-</v>
      </c>
      <c r="F25" s="99" t="str">
        <f>IF(C25=0,"-",D25/C25)</f>
        <v>-</v>
      </c>
    </row>
    <row r="26" spans="1:6" ht="31.5" customHeight="1">
      <c r="A26" s="35" t="s">
        <v>137</v>
      </c>
      <c r="B26" s="41" t="s">
        <v>140</v>
      </c>
      <c r="C26" s="86">
        <v>0</v>
      </c>
      <c r="D26" s="29">
        <f t="shared" si="2"/>
        <v>0</v>
      </c>
      <c r="E26" s="98" t="str">
        <f>IF(C26=D26,"-",D26-C26)</f>
        <v>-</v>
      </c>
      <c r="F26" s="99" t="str">
        <f>IF(C26=0,"-",D26/C26)</f>
        <v>-</v>
      </c>
    </row>
    <row r="27" spans="1:6" ht="31.5" customHeight="1">
      <c r="A27" s="35" t="s">
        <v>138</v>
      </c>
      <c r="B27" s="41" t="s">
        <v>141</v>
      </c>
      <c r="C27" s="86">
        <v>1260</v>
      </c>
      <c r="D27" s="29">
        <f t="shared" si="2"/>
        <v>1260</v>
      </c>
      <c r="E27" s="98" t="str">
        <f>IF(C27=D27,"-",D27-C27)</f>
        <v>-</v>
      </c>
      <c r="F27" s="99">
        <f>IF(C27=0,"-",D27/C27)</f>
        <v>1</v>
      </c>
    </row>
    <row r="28" spans="1:6" s="5" customFormat="1" ht="31.5" customHeight="1">
      <c r="A28" s="36" t="s">
        <v>68</v>
      </c>
      <c r="B28" s="42" t="s">
        <v>69</v>
      </c>
      <c r="C28" s="87">
        <v>0</v>
      </c>
      <c r="D28" s="91">
        <f>C28</f>
        <v>0</v>
      </c>
      <c r="E28" s="13" t="str">
        <f t="shared" si="0"/>
        <v>-</v>
      </c>
      <c r="F28" s="100" t="str">
        <f t="shared" si="1"/>
        <v>-</v>
      </c>
    </row>
    <row r="29" spans="1:6" s="5" customFormat="1" ht="31.5" customHeight="1">
      <c r="A29" s="36" t="s">
        <v>67</v>
      </c>
      <c r="B29" s="42" t="s">
        <v>70</v>
      </c>
      <c r="C29" s="87">
        <v>133884</v>
      </c>
      <c r="D29" s="91">
        <f>C29</f>
        <v>133884</v>
      </c>
      <c r="E29" s="13" t="str">
        <f t="shared" si="0"/>
        <v>-</v>
      </c>
      <c r="F29" s="100">
        <f t="shared" si="1"/>
        <v>1</v>
      </c>
    </row>
    <row r="30" spans="1:6" s="3" customFormat="1" ht="30" customHeight="1">
      <c r="A30" s="30" t="s">
        <v>17</v>
      </c>
      <c r="B30" s="50" t="s">
        <v>18</v>
      </c>
      <c r="C30" s="27">
        <f>C31+C32+C33+C41+C42+C48+C49+C50+C47</f>
        <v>36469</v>
      </c>
      <c r="D30" s="27">
        <f>D31+D32+D33+D41+D42+D48+D49+D50+D47</f>
        <v>36469</v>
      </c>
      <c r="E30" s="11" t="str">
        <f>IF(C30=D30,"-",D30-C30)</f>
        <v>-</v>
      </c>
      <c r="F30" s="101">
        <f t="shared" si="1"/>
        <v>1</v>
      </c>
    </row>
    <row r="31" spans="1:6" ht="28.5" customHeight="1">
      <c r="A31" s="35" t="s">
        <v>19</v>
      </c>
      <c r="B31" s="44" t="s">
        <v>20</v>
      </c>
      <c r="C31" s="79">
        <v>1484</v>
      </c>
      <c r="D31" s="28">
        <f>C31</f>
        <v>1484</v>
      </c>
      <c r="E31" s="98" t="str">
        <f aca="true" t="shared" si="3" ref="E31:E51">IF(C31=D31,"-",D31-C31)</f>
        <v>-</v>
      </c>
      <c r="F31" s="99">
        <f t="shared" si="1"/>
        <v>1</v>
      </c>
    </row>
    <row r="32" spans="1:6" ht="28.5" customHeight="1">
      <c r="A32" s="35" t="s">
        <v>21</v>
      </c>
      <c r="B32" s="44" t="s">
        <v>22</v>
      </c>
      <c r="C32" s="79">
        <v>4127</v>
      </c>
      <c r="D32" s="28">
        <f>C32</f>
        <v>4127</v>
      </c>
      <c r="E32" s="98" t="str">
        <f t="shared" si="3"/>
        <v>-</v>
      </c>
      <c r="F32" s="99">
        <f t="shared" si="1"/>
        <v>1</v>
      </c>
    </row>
    <row r="33" spans="1:6" ht="28.5" customHeight="1">
      <c r="A33" s="35" t="s">
        <v>23</v>
      </c>
      <c r="B33" s="45" t="s">
        <v>37</v>
      </c>
      <c r="C33" s="28">
        <f>C34+C36+C37+C38+C39+C40</f>
        <v>223</v>
      </c>
      <c r="D33" s="28">
        <f>D34+D36+D37+D38+D39+D40</f>
        <v>223</v>
      </c>
      <c r="E33" s="98" t="str">
        <f t="shared" si="3"/>
        <v>-</v>
      </c>
      <c r="F33" s="99">
        <f t="shared" si="1"/>
        <v>1</v>
      </c>
    </row>
    <row r="34" spans="1:6" ht="28.5" customHeight="1">
      <c r="A34" s="46" t="s">
        <v>45</v>
      </c>
      <c r="B34" s="47" t="s">
        <v>38</v>
      </c>
      <c r="C34" s="79">
        <v>20</v>
      </c>
      <c r="D34" s="28">
        <f>C34</f>
        <v>20</v>
      </c>
      <c r="E34" s="98" t="str">
        <f t="shared" si="3"/>
        <v>-</v>
      </c>
      <c r="F34" s="99">
        <f t="shared" si="1"/>
        <v>1</v>
      </c>
    </row>
    <row r="35" spans="1:6" ht="28.5" customHeight="1">
      <c r="A35" s="46" t="s">
        <v>46</v>
      </c>
      <c r="B35" s="48" t="s">
        <v>39</v>
      </c>
      <c r="C35" s="79">
        <v>20</v>
      </c>
      <c r="D35" s="28">
        <f>C35</f>
        <v>20</v>
      </c>
      <c r="E35" s="98" t="str">
        <f t="shared" si="3"/>
        <v>-</v>
      </c>
      <c r="F35" s="99">
        <f t="shared" si="1"/>
        <v>1</v>
      </c>
    </row>
    <row r="36" spans="1:6" ht="28.5" customHeight="1">
      <c r="A36" s="46" t="s">
        <v>47</v>
      </c>
      <c r="B36" s="47" t="s">
        <v>40</v>
      </c>
      <c r="C36" s="79">
        <v>0</v>
      </c>
      <c r="D36" s="28">
        <f>C36</f>
        <v>0</v>
      </c>
      <c r="E36" s="98" t="str">
        <f t="shared" si="3"/>
        <v>-</v>
      </c>
      <c r="F36" s="99" t="str">
        <f t="shared" si="1"/>
        <v>-</v>
      </c>
    </row>
    <row r="37" spans="1:6" ht="28.5" customHeight="1">
      <c r="A37" s="46" t="s">
        <v>48</v>
      </c>
      <c r="B37" s="47" t="s">
        <v>41</v>
      </c>
      <c r="C37" s="79">
        <v>0</v>
      </c>
      <c r="D37" s="28">
        <f aca="true" t="shared" si="4" ref="D37:D48">C37</f>
        <v>0</v>
      </c>
      <c r="E37" s="98" t="str">
        <f t="shared" si="3"/>
        <v>-</v>
      </c>
      <c r="F37" s="99" t="str">
        <f t="shared" si="1"/>
        <v>-</v>
      </c>
    </row>
    <row r="38" spans="1:6" ht="28.5" customHeight="1">
      <c r="A38" s="46" t="s">
        <v>49</v>
      </c>
      <c r="B38" s="47" t="s">
        <v>42</v>
      </c>
      <c r="C38" s="79">
        <v>0</v>
      </c>
      <c r="D38" s="28">
        <f t="shared" si="4"/>
        <v>0</v>
      </c>
      <c r="E38" s="98" t="str">
        <f t="shared" si="3"/>
        <v>-</v>
      </c>
      <c r="F38" s="99" t="str">
        <f t="shared" si="1"/>
        <v>-</v>
      </c>
    </row>
    <row r="39" spans="1:6" ht="28.5" customHeight="1">
      <c r="A39" s="46" t="s">
        <v>50</v>
      </c>
      <c r="B39" s="47" t="s">
        <v>43</v>
      </c>
      <c r="C39" s="79">
        <v>185</v>
      </c>
      <c r="D39" s="28">
        <f t="shared" si="4"/>
        <v>185</v>
      </c>
      <c r="E39" s="98" t="str">
        <f t="shared" si="3"/>
        <v>-</v>
      </c>
      <c r="F39" s="99">
        <f t="shared" si="1"/>
        <v>1</v>
      </c>
    </row>
    <row r="40" spans="1:6" ht="28.5" customHeight="1">
      <c r="A40" s="46" t="s">
        <v>51</v>
      </c>
      <c r="B40" s="47" t="s">
        <v>44</v>
      </c>
      <c r="C40" s="79">
        <v>18</v>
      </c>
      <c r="D40" s="28">
        <f t="shared" si="4"/>
        <v>18</v>
      </c>
      <c r="E40" s="98" t="str">
        <f t="shared" si="3"/>
        <v>-</v>
      </c>
      <c r="F40" s="99">
        <f t="shared" si="1"/>
        <v>1</v>
      </c>
    </row>
    <row r="41" spans="1:6" ht="28.5" customHeight="1">
      <c r="A41" s="35" t="s">
        <v>24</v>
      </c>
      <c r="B41" s="44" t="s">
        <v>25</v>
      </c>
      <c r="C41" s="28">
        <v>21016</v>
      </c>
      <c r="D41" s="28">
        <f t="shared" si="4"/>
        <v>21016</v>
      </c>
      <c r="E41" s="98" t="str">
        <f t="shared" si="3"/>
        <v>-</v>
      </c>
      <c r="F41" s="99">
        <f t="shared" si="1"/>
        <v>1</v>
      </c>
    </row>
    <row r="42" spans="1:6" ht="28.5" customHeight="1">
      <c r="A42" s="35" t="s">
        <v>26</v>
      </c>
      <c r="B42" s="45" t="s">
        <v>61</v>
      </c>
      <c r="C42" s="28">
        <f>SUM(C43:C46)</f>
        <v>4245</v>
      </c>
      <c r="D42" s="28">
        <f>SUM(D43:D46)</f>
        <v>4245</v>
      </c>
      <c r="E42" s="98" t="str">
        <f t="shared" si="3"/>
        <v>-</v>
      </c>
      <c r="F42" s="99">
        <f t="shared" si="1"/>
        <v>1</v>
      </c>
    </row>
    <row r="43" spans="1:6" ht="28.5" customHeight="1">
      <c r="A43" s="46" t="s">
        <v>56</v>
      </c>
      <c r="B43" s="47" t="s">
        <v>52</v>
      </c>
      <c r="C43" s="28">
        <v>3192</v>
      </c>
      <c r="D43" s="28">
        <f>C43</f>
        <v>3192</v>
      </c>
      <c r="E43" s="98" t="str">
        <f t="shared" si="3"/>
        <v>-</v>
      </c>
      <c r="F43" s="99">
        <f t="shared" si="1"/>
        <v>1</v>
      </c>
    </row>
    <row r="44" spans="1:6" ht="28.5" customHeight="1">
      <c r="A44" s="46" t="s">
        <v>57</v>
      </c>
      <c r="B44" s="47" t="s">
        <v>53</v>
      </c>
      <c r="C44" s="28">
        <v>515</v>
      </c>
      <c r="D44" s="28">
        <f>C44</f>
        <v>515</v>
      </c>
      <c r="E44" s="98" t="str">
        <f t="shared" si="3"/>
        <v>-</v>
      </c>
      <c r="F44" s="99">
        <f t="shared" si="1"/>
        <v>1</v>
      </c>
    </row>
    <row r="45" spans="1:6" ht="28.5" customHeight="1">
      <c r="A45" s="46" t="s">
        <v>58</v>
      </c>
      <c r="B45" s="47" t="s">
        <v>54</v>
      </c>
      <c r="C45" s="28">
        <v>0</v>
      </c>
      <c r="D45" s="28">
        <f t="shared" si="4"/>
        <v>0</v>
      </c>
      <c r="E45" s="98" t="str">
        <f t="shared" si="3"/>
        <v>-</v>
      </c>
      <c r="F45" s="99" t="str">
        <f t="shared" si="1"/>
        <v>-</v>
      </c>
    </row>
    <row r="46" spans="1:6" ht="28.5" customHeight="1">
      <c r="A46" s="46" t="s">
        <v>59</v>
      </c>
      <c r="B46" s="47" t="s">
        <v>55</v>
      </c>
      <c r="C46" s="28">
        <v>538</v>
      </c>
      <c r="D46" s="28">
        <f>C46</f>
        <v>538</v>
      </c>
      <c r="E46" s="98" t="str">
        <f t="shared" si="3"/>
        <v>-</v>
      </c>
      <c r="F46" s="99">
        <f t="shared" si="1"/>
        <v>1</v>
      </c>
    </row>
    <row r="47" spans="1:6" ht="31.5" customHeight="1">
      <c r="A47" s="35" t="s">
        <v>27</v>
      </c>
      <c r="B47" s="44" t="s">
        <v>28</v>
      </c>
      <c r="C47" s="79">
        <v>0</v>
      </c>
      <c r="D47" s="28">
        <f t="shared" si="4"/>
        <v>0</v>
      </c>
      <c r="E47" s="98" t="str">
        <f t="shared" si="3"/>
        <v>-</v>
      </c>
      <c r="F47" s="99" t="str">
        <f t="shared" si="1"/>
        <v>-</v>
      </c>
    </row>
    <row r="48" spans="1:6" ht="47.25" customHeight="1">
      <c r="A48" s="35" t="s">
        <v>29</v>
      </c>
      <c r="B48" s="44" t="s">
        <v>114</v>
      </c>
      <c r="C48" s="86">
        <v>4804</v>
      </c>
      <c r="D48" s="28">
        <f t="shared" si="4"/>
        <v>4804</v>
      </c>
      <c r="E48" s="98" t="str">
        <f t="shared" si="3"/>
        <v>-</v>
      </c>
      <c r="F48" s="102">
        <f t="shared" si="1"/>
        <v>1</v>
      </c>
    </row>
    <row r="49" spans="1:6" ht="47.25" customHeight="1">
      <c r="A49" s="35" t="s">
        <v>30</v>
      </c>
      <c r="B49" s="44" t="s">
        <v>31</v>
      </c>
      <c r="C49" s="86">
        <v>263</v>
      </c>
      <c r="D49" s="28">
        <f>C49</f>
        <v>263</v>
      </c>
      <c r="E49" s="98" t="str">
        <f t="shared" si="3"/>
        <v>-</v>
      </c>
      <c r="F49" s="102">
        <f t="shared" si="1"/>
        <v>1</v>
      </c>
    </row>
    <row r="50" spans="1:6" ht="31.5" customHeight="1">
      <c r="A50" s="35" t="s">
        <v>32</v>
      </c>
      <c r="B50" s="44" t="s">
        <v>33</v>
      </c>
      <c r="C50" s="79">
        <v>307</v>
      </c>
      <c r="D50" s="28">
        <f>C50</f>
        <v>307</v>
      </c>
      <c r="E50" s="98" t="str">
        <f t="shared" si="3"/>
        <v>-</v>
      </c>
      <c r="F50" s="99">
        <f t="shared" si="1"/>
        <v>1</v>
      </c>
    </row>
    <row r="51" spans="1:6" s="3" customFormat="1" ht="30" customHeight="1">
      <c r="A51" s="37" t="s">
        <v>34</v>
      </c>
      <c r="B51" s="49" t="s">
        <v>168</v>
      </c>
      <c r="C51" s="31">
        <f>SUM(C52:C55)</f>
        <v>20970</v>
      </c>
      <c r="D51" s="31">
        <f>SUM(D52:D55)</f>
        <v>12980</v>
      </c>
      <c r="E51" s="11">
        <f t="shared" si="3"/>
        <v>-7990</v>
      </c>
      <c r="F51" s="103">
        <f t="shared" si="1"/>
        <v>0.619</v>
      </c>
    </row>
    <row r="52" spans="1:6" ht="47.25" customHeight="1">
      <c r="A52" s="35" t="s">
        <v>118</v>
      </c>
      <c r="B52" s="44" t="s">
        <v>143</v>
      </c>
      <c r="C52" s="79">
        <v>10</v>
      </c>
      <c r="D52" s="28">
        <f>C52</f>
        <v>10</v>
      </c>
      <c r="E52" s="79" t="str">
        <f>IF(C52=D52,"-",D52-C52)</f>
        <v>-</v>
      </c>
      <c r="F52" s="99">
        <f t="shared" si="1"/>
        <v>1</v>
      </c>
    </row>
    <row r="53" spans="1:6" ht="31.5" customHeight="1">
      <c r="A53" s="35" t="s">
        <v>35</v>
      </c>
      <c r="B53" s="44" t="s">
        <v>63</v>
      </c>
      <c r="C53" s="79">
        <v>18295</v>
      </c>
      <c r="D53" s="28">
        <f>C53-7990</f>
        <v>10305</v>
      </c>
      <c r="E53" s="79">
        <f>IF(C53=D53,"-",D53-C53)</f>
        <v>-7990</v>
      </c>
      <c r="F53" s="99">
        <f t="shared" si="1"/>
        <v>0.5633</v>
      </c>
    </row>
    <row r="54" spans="1:6" ht="31.5" customHeight="1">
      <c r="A54" s="35" t="s">
        <v>36</v>
      </c>
      <c r="B54" s="44" t="s">
        <v>120</v>
      </c>
      <c r="C54" s="79">
        <v>0</v>
      </c>
      <c r="D54" s="28">
        <f>C54</f>
        <v>0</v>
      </c>
      <c r="E54" s="79" t="str">
        <f>IF(C54=D54,"-",D54-C54)</f>
        <v>-</v>
      </c>
      <c r="F54" s="99" t="str">
        <f t="shared" si="1"/>
        <v>-</v>
      </c>
    </row>
    <row r="55" spans="1:6" ht="31.5" customHeight="1">
      <c r="A55" s="35" t="s">
        <v>119</v>
      </c>
      <c r="B55" s="44" t="s">
        <v>121</v>
      </c>
      <c r="C55" s="79">
        <v>2665</v>
      </c>
      <c r="D55" s="28">
        <f>C55</f>
        <v>2665</v>
      </c>
      <c r="E55" s="79" t="str">
        <f>IF(C55=D55,"-",D55-C55)</f>
        <v>-</v>
      </c>
      <c r="F55" s="99">
        <f t="shared" si="1"/>
        <v>1</v>
      </c>
    </row>
    <row r="56" spans="1:6" ht="32.25" customHeight="1">
      <c r="A56" s="37" t="s">
        <v>126</v>
      </c>
      <c r="B56" s="49" t="s">
        <v>154</v>
      </c>
      <c r="C56" s="89">
        <v>181</v>
      </c>
      <c r="D56" s="31">
        <f>C56+4779</f>
        <v>4960</v>
      </c>
      <c r="E56" s="11">
        <f>IF(C56=D56,"-",D56-C56)</f>
        <v>4779</v>
      </c>
      <c r="F56" s="103">
        <f>IF(C56=0,"-",D56/C56)</f>
        <v>27.4033</v>
      </c>
    </row>
    <row r="74" ht="12.75">
      <c r="D74" s="2" t="s">
        <v>200</v>
      </c>
    </row>
    <row r="110" ht="12.75">
      <c r="B110" s="2" t="s">
        <v>222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2011-12-16T08:42:48Z</cp:lastPrinted>
  <dcterms:created xsi:type="dcterms:W3CDTF">2005-07-21T09:51:05Z</dcterms:created>
  <dcterms:modified xsi:type="dcterms:W3CDTF">2011-12-30T10:06:49Z</dcterms:modified>
  <cp:category/>
  <cp:version/>
  <cp:contentType/>
  <cp:contentStatus/>
</cp:coreProperties>
</file>