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r:id="rId20"/>
  </sheets>
  <externalReferences>
    <externalReference r:id="rId23"/>
    <externalReference r:id="rId24"/>
    <externalReference r:id="rId25"/>
  </externalReferences>
  <definedNames>
    <definedName name="__C" localSheetId="19">'zbiorczo'!__C</definedName>
    <definedName name="__C">[0]!__C</definedName>
    <definedName name="_1_0_0kos" localSheetId="19">'[1]plan'!#REF!</definedName>
    <definedName name="_1_0_0kos">'[1]plan'!#REF!</definedName>
    <definedName name="_2_0_0ra" localSheetId="19">'[1]plan'!#REF!</definedName>
    <definedName name="_2_0_0ra">'[1]plan'!#REF!</definedName>
    <definedName name="_C" localSheetId="2">'Razem OW'!_C</definedName>
    <definedName name="_C" localSheetId="18">'Zachodniopomorski'!_C</definedName>
    <definedName name="_C" localSheetId="19">#N/A</definedName>
    <definedName name="_C">'Razem OW'!_C</definedName>
    <definedName name="A" localSheetId="2">'Razem OW'!A</definedName>
    <definedName name="A" localSheetId="18">'Zachodniopomorski'!A</definedName>
    <definedName name="A" localSheetId="19">#N/A</definedName>
    <definedName name="A">'Razem OW'!A</definedName>
    <definedName name="A_2" localSheetId="19">'zbiorczo'!A_2</definedName>
    <definedName name="A_2">[0]!A_2</definedName>
    <definedName name="aa" localSheetId="2">'Razem OW'!aa</definedName>
    <definedName name="aa" localSheetId="18">'Zachodniopomorski'!aa</definedName>
    <definedName name="aa" localSheetId="19">#N/A</definedName>
    <definedName name="aa">'Razem OW'!aa</definedName>
    <definedName name="aa_2" localSheetId="19">'zbiorczo'!aa_2</definedName>
    <definedName name="aa_2">[0]!aa_2</definedName>
    <definedName name="B" localSheetId="19">'zbiorczo'!B</definedName>
    <definedName name="B">[0]!B</definedName>
    <definedName name="BILANS" localSheetId="19">'[2]plan'!#REF!</definedName>
    <definedName name="BILANS">'[2]plan'!#REF!</definedName>
    <definedName name="BILANSSPZ" localSheetId="19">'[2]plan'!#REF!</definedName>
    <definedName name="BILANSSPZ">'[2]plan'!#REF!</definedName>
    <definedName name="BV" localSheetId="2">'Razem OW'!BV</definedName>
    <definedName name="BV" localSheetId="18">'Zachodniopomorski'!BV</definedName>
    <definedName name="BV" localSheetId="19">#N/A</definedName>
    <definedName name="BV">'Razem OW'!BV</definedName>
    <definedName name="cr" localSheetId="2">'Razem OW'!cr</definedName>
    <definedName name="cr" localSheetId="18">'Zachodniopomorski'!cr</definedName>
    <definedName name="cr" localSheetId="19">#N/A</definedName>
    <definedName name="cr">'Razem OW'!cr</definedName>
    <definedName name="d" localSheetId="2">'Razem OW'!d</definedName>
    <definedName name="d" localSheetId="18">'Zachodniopomorski'!d</definedName>
    <definedName name="d" localSheetId="19">#N/A</definedName>
    <definedName name="d">'Razem OW'!d</definedName>
    <definedName name="depozyty">#REF!</definedName>
    <definedName name="g" localSheetId="19">'zbiorczo'!g</definedName>
    <definedName name="g">[0]!g</definedName>
    <definedName name="koszty" localSheetId="19">'[1]plan'!#REF!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 localSheetId="19">#N/A</definedName>
    <definedName name="mn">'Razem OW'!mn</definedName>
    <definedName name="mon" localSheetId="2">'Razem OW'!mon</definedName>
    <definedName name="mon" localSheetId="18">'Zachodniopomorski'!mon</definedName>
    <definedName name="mon" localSheetId="19">#N/A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'zbiorczo'!$A$1:$T$32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 localSheetId="19">#N/A</definedName>
    <definedName name="rgds">'Razem OW'!rgds</definedName>
    <definedName name="_xlnm.Print_Titles" localSheetId="0">'NFZ'!$1:$6</definedName>
    <definedName name="_xlnm.Print_Titles" localSheetId="19">'zbiorczo'!$A:$B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 localSheetId="19">#N/A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<sst xmlns="http://schemas.openxmlformats.org/spreadsheetml/2006/main" count="2307" uniqueCount="242">
  <si>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</si>
  <si>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</si>
  <si>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</si>
  <si>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</si>
  <si>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</si>
  <si>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</si>
  <si>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</si>
  <si>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</si>
  <si>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</si>
  <si>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</si>
  <si>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</si>
  <si>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</si>
  <si>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</si>
  <si>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</si>
  <si>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</si>
  <si>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</si>
  <si>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</si>
  <si>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</si>
  <si>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</si>
  <si>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</si>
  <si>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</si>
  <si>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</si>
  <si>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</si>
  <si>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</si>
  <si>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</si>
  <si>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</si>
  <si>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</si>
  <si>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</si>
  <si>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</si>
  <si>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</si>
  <si>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</si>
  <si>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</si>
  <si>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</si>
  <si>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</si>
  <si>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</si>
  <si>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</si>
  <si>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</si>
  <si>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</si>
  <si>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</si>
  <si>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</si>
  <si>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</si>
  <si>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</si>
  <si>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</si>
  <si>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</si>
  <si>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</si>
  <si>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</si>
  <si>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</si>
  <si>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</si>
  <si>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</si>
  <si>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</si>
  <si>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</si>
  <si>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</si>
  <si>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</si>
  <si>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</si>
  <si>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</si>
  <si>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</si>
  <si>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</si>
  <si>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</si>
  <si>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</si>
  <si>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</si>
  <si>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</si>
  <si>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</si>
  <si>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</si>
  <si>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</si>
  <si>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</si>
  <si>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</si>
  <si>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</si>
  <si>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</si>
  <si>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</si>
  <si>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</si>
  <si>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</si>
  <si>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</si>
  <si>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</si>
  <si>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</si>
  <si>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</si>
  <si>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</si>
  <si>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</si>
  <si>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</si>
  <si>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</si>
  <si>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</si>
  <si>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</si>
  <si>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</si>
  <si>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</si>
  <si>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</si>
  <si>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</si>
  <si>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</si>
  <si>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</si>
  <si>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</si>
  <si>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</si>
  <si>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</si>
  <si>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</si>
  <si>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</si>
  <si>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</si>
  <si>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</si>
  <si>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</si>
  <si>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</si>
  <si>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</si>
  <si>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</si>
  <si>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</si>
  <si>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</si>
  <si>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</si>
  <si>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</si>
  <si>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</si>
  <si>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</si>
  <si>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</si>
  <si>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</si>
  <si>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</si>
  <si>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</si>
  <si>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</si>
  <si>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</si>
  <si>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</si>
  <si>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</si>
  <si>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</si>
  <si>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</si>
  <si>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</si>
  <si>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</si>
  <si>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</si>
  <si>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</si>
  <si>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</si>
  <si>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</si>
  <si>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</si>
  <si>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</si>
  <si>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</si>
  <si>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</si>
  <si>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</si>
  <si>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</si>
  <si>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</si>
  <si>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</si>
  <si>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</si>
  <si>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</si>
  <si>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</si>
  <si>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</si>
  <si>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</si>
  <si>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</si>
  <si>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</si>
  <si>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</si>
  <si>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</si>
  <si>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</si>
  <si>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</si>
  <si>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</si>
  <si>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</si>
  <si>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</si>
  <si>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</si>
  <si>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</si>
  <si>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</si>
  <si>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</si>
  <si>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</si>
  <si>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</si>
  <si>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</si>
  <si>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</si>
  <si>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</si>
  <si>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</si>
  <si>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</si>
  <si>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</si>
  <si>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</si>
  <si>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</si>
  <si>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</si>
  <si>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</si>
  <si>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</si>
  <si>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</si>
  <si>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</si>
  <si>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</si>
  <si>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</si>
  <si>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</si>
  <si>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</si>
  <si>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</si>
  <si>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</si>
  <si>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</si>
  <si>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</si>
  <si>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</si>
  <si>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</si>
  <si>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</si>
  <si>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</si>
  <si>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</si>
  <si>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</si>
  <si>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</si>
  <si>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</si>
  <si>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</si>
  <si>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</si>
  <si>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</si>
  <si>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</si>
  <si>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</si>
  <si>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</si>
  <si>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</si>
  <si>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</si>
  <si>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</si>
  <si>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</si>
  <si>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</si>
  <si>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</si>
  <si>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</si>
  <si>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</si>
  <si>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</si>
  <si>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</si>
  <si>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</si>
  <si>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</si>
  <si>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</si>
  <si>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</si>
  <si>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</si>
  <si>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</si>
  <si>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</si>
  <si>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darowizny i zapisy otrzymane, w tym kwota umorzenia majątku otrzymanego nieodpłatnie wynikająca z rozliczeń międzyokresowych przypadająca na rok planowania</t>
  </si>
  <si>
    <t>Plan na
2010 rok</t>
  </si>
  <si>
    <t xml:space="preserve"> 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</si>
  <si>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</si>
  <si>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</si>
  <si>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</si>
  <si>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</si>
  <si>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</si>
  <si>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</si>
  <si>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</si>
  <si>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</si>
  <si>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</si>
  <si>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</si>
  <si>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</si>
  <si>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</si>
  <si>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</si>
  <si>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</si>
  <si>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</si>
  <si>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</si>
  <si>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</si>
  <si>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</si>
  <si>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</si>
  <si>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</si>
  <si>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</si>
  <si>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</si>
  <si>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</si>
  <si>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</si>
  <si>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</si>
  <si>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</si>
  <si>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</si>
  <si>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</si>
  <si>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</si>
  <si>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</si>
  <si>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</si>
  <si>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</si>
  <si>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</si>
  <si>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</si>
  <si>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</si>
  <si>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</si>
  <si>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</si>
  <si>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Koszt poboru i ewidencjonowania składek
( 4.1 + 4.2 ), w tym:</t>
  </si>
  <si>
    <t>ZMIANA PLANU FINANSOWEGO NARODOWEGO FUNDUSZU ZDROWIA NA 2010 ROK Z 6 LIPCA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</si>
</sst>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.0"/>
    <numFmt numFmtId="170" formatCode="0.0"/>
    <numFmt numFmtId="171" formatCode="#,##0.000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sz val="22"/>
      <name val="Times New Roman CE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8" applyFont="1" applyFill="1" applyBorder="1" applyAlignment="1" applyProtection="1">
      <alignment horizontal="left" vertical="center"/>
      <protection/>
    </xf>
    <xf numFmtId="10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6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4" fillId="34" borderId="10" xfId="68" applyFont="1" applyFill="1" applyBorder="1" applyAlignment="1" applyProtection="1">
      <alignment horizontal="center" vertical="center" wrapText="1"/>
      <protection/>
    </xf>
    <xf numFmtId="0" fontId="24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4" fillId="34" borderId="10" xfId="67" applyFont="1" applyFill="1" applyBorder="1" applyAlignment="1" applyProtection="1">
      <alignment horizontal="center" vertical="center" wrapText="1"/>
      <protection/>
    </xf>
    <xf numFmtId="0" fontId="24" fillId="34" borderId="10" xfId="67" applyFont="1" applyFill="1" applyBorder="1" applyAlignment="1" applyProtection="1">
      <alignment horizontal="left" vertical="center" wrapText="1" indent="1"/>
      <protection/>
    </xf>
    <xf numFmtId="0" fontId="24" fillId="34" borderId="11" xfId="67" applyFont="1" applyFill="1" applyBorder="1" applyAlignment="1" applyProtection="1">
      <alignment horizontal="left" vertical="center" wrapText="1" indent="1"/>
      <protection/>
    </xf>
    <xf numFmtId="0" fontId="24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10" fontId="10" fillId="0" borderId="10" xfId="7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10" fontId="3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1" fillId="35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>
      <alignment/>
    </xf>
    <xf numFmtId="3" fontId="4" fillId="34" borderId="0" xfId="0" applyNumberFormat="1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 wrapText="1"/>
      <protection locked="0"/>
    </xf>
    <xf numFmtId="0" fontId="34" fillId="36" borderId="10" xfId="65" applyFont="1" applyFill="1" applyBorder="1" applyAlignment="1" applyProtection="1">
      <alignment horizontal="center" vertical="center" wrapText="1"/>
      <protection locked="0"/>
    </xf>
    <xf numFmtId="0" fontId="34" fillId="36" borderId="10" xfId="0" applyFont="1" applyFill="1" applyBorder="1" applyAlignment="1">
      <alignment horizontal="center" vertical="center" textRotation="90"/>
    </xf>
    <xf numFmtId="0" fontId="35" fillId="34" borderId="0" xfId="0" applyFont="1" applyFill="1" applyAlignment="1" applyProtection="1">
      <alignment horizontal="center" vertical="center"/>
      <protection locked="0"/>
    </xf>
    <xf numFmtId="49" fontId="36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3" fontId="22" fillId="34" borderId="1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Alignment="1" applyProtection="1">
      <alignment horizontal="right" vertical="center"/>
      <protection locked="0"/>
    </xf>
    <xf numFmtId="3" fontId="28" fillId="0" borderId="10" xfId="0" applyNumberFormat="1" applyFont="1" applyFill="1" applyBorder="1" applyAlignment="1">
      <alignment horizontal="right" vertical="center"/>
    </xf>
    <xf numFmtId="0" fontId="34" fillId="36" borderId="10" xfId="0" applyFont="1" applyFill="1" applyBorder="1" applyAlignment="1">
      <alignment horizontal="center" vertical="center" textRotation="90" wrapText="1"/>
    </xf>
    <xf numFmtId="3" fontId="11" fillId="0" borderId="0" xfId="0" applyNumberFormat="1" applyFont="1" applyFill="1" applyAlignment="1" applyProtection="1">
      <alignment vertical="center"/>
      <protection locked="0"/>
    </xf>
    <xf numFmtId="10" fontId="7" fillId="0" borderId="0" xfId="70" applyNumberFormat="1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34" borderId="0" xfId="0" applyFont="1" applyFill="1" applyAlignment="1" applyProtection="1">
      <alignment horizontal="center" vertical="center"/>
      <protection locked="0"/>
    </xf>
    <xf numFmtId="0" fontId="37" fillId="34" borderId="0" xfId="0" applyFont="1" applyFill="1" applyAlignment="1" applyProtection="1">
      <alignment vertical="center"/>
      <protection locked="0"/>
    </xf>
    <xf numFmtId="2" fontId="38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3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 wrapText="1"/>
      <protection locked="0"/>
    </xf>
    <xf numFmtId="3" fontId="11" fillId="35" borderId="10" xfId="0" applyNumberFormat="1" applyFont="1" applyFill="1" applyBorder="1" applyAlignment="1">
      <alignment horizontal="right" vertical="center"/>
    </xf>
    <xf numFmtId="171" fontId="18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66" applyNumberFormat="1" applyFont="1" applyFill="1" applyBorder="1" applyAlignment="1">
      <alignment horizontal="center" vertical="center" wrapText="1"/>
      <protection/>
    </xf>
    <xf numFmtId="3" fontId="11" fillId="34" borderId="14" xfId="66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1"/>
  <sheetViews>
    <sheetView showGridLines="0" tabSelected="1" zoomScale="49" zoomScaleNormal="49" zoomScaleSheetLayoutView="55" zoomScalePageLayoutView="0" workbookViewId="0" topLeftCell="A1">
      <selection activeCell="C90" sqref="C90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4.375" style="7" customWidth="1"/>
    <col min="6" max="6" width="25.375" style="7" customWidth="1"/>
    <col min="7" max="7" width="16.625" style="7" customWidth="1"/>
    <col min="8" max="8" width="14.375" style="7" bestFit="1" customWidth="1"/>
    <col min="9" max="16384" width="9.125" style="7" customWidth="1"/>
  </cols>
  <sheetData>
    <row r="1" spans="1:6" s="138" customFormat="1" ht="35.25" customHeight="1">
      <c r="A1" s="148" t="s">
        <v>241</v>
      </c>
      <c r="B1" s="148"/>
      <c r="C1" s="148"/>
      <c r="D1" s="148"/>
      <c r="E1" s="148"/>
      <c r="F1" s="148"/>
    </row>
    <row r="2" spans="1:3" s="139" customFormat="1" ht="30.75" customHeight="1">
      <c r="A2" s="147" t="s">
        <v>135</v>
      </c>
      <c r="B2" s="147"/>
      <c r="C2" s="148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89" s="11" customFormat="1" ht="38.25" customHeight="1">
      <c r="A4" s="149" t="s">
        <v>164</v>
      </c>
      <c r="B4" s="149" t="s">
        <v>62</v>
      </c>
      <c r="C4" s="153" t="s">
        <v>201</v>
      </c>
      <c r="D4" s="150" t="s">
        <v>158</v>
      </c>
      <c r="E4" s="152" t="s">
        <v>179</v>
      </c>
      <c r="F4" s="152" t="s">
        <v>180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</row>
    <row r="5" spans="1:89" s="11" customFormat="1" ht="38.25" customHeight="1">
      <c r="A5" s="149"/>
      <c r="B5" s="149"/>
      <c r="C5" s="154"/>
      <c r="D5" s="151"/>
      <c r="E5" s="152"/>
      <c r="F5" s="152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</row>
    <row r="6" spans="1:89" s="12" customFormat="1" ht="19.5" customHeight="1">
      <c r="A6" s="58">
        <v>1</v>
      </c>
      <c r="B6" s="62">
        <v>2</v>
      </c>
      <c r="C6" s="62">
        <v>3</v>
      </c>
      <c r="D6" s="32" t="s">
        <v>159</v>
      </c>
      <c r="E6" s="32" t="s">
        <v>160</v>
      </c>
      <c r="F6" s="32" t="s">
        <v>161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</row>
    <row r="7" spans="1:89" s="14" customFormat="1" ht="63.75" customHeight="1">
      <c r="A7" s="63">
        <v>1</v>
      </c>
      <c r="B7" s="64" t="s">
        <v>156</v>
      </c>
      <c r="C7" s="13">
        <f>C8+C9</f>
        <v>53156228</v>
      </c>
      <c r="D7" s="13">
        <f>D8+D9</f>
        <v>55511967</v>
      </c>
      <c r="E7" s="13">
        <f>IF(C7=D7,"-",D7-C7)</f>
        <v>2355739</v>
      </c>
      <c r="F7" s="93">
        <f>IF(C7=0,"-",D7/C7)</f>
        <v>1.0443</v>
      </c>
      <c r="G7" s="117"/>
      <c r="H7" s="11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" ht="30" customHeight="1">
      <c r="A8" s="65" t="s">
        <v>91</v>
      </c>
      <c r="B8" s="66" t="s">
        <v>92</v>
      </c>
      <c r="C8" s="15">
        <v>49750647</v>
      </c>
      <c r="D8" s="15">
        <f>C8+2501203</f>
        <v>52251850</v>
      </c>
      <c r="E8" s="15">
        <f aca="true" t="shared" si="0" ref="E8:E45">IF(C8=D8,"-",D8-C8)</f>
        <v>2501203</v>
      </c>
      <c r="F8" s="94">
        <f aca="true" t="shared" si="1" ref="F8:F45">IF(C8=0,"-",D8/C8)</f>
        <v>1.0503</v>
      </c>
      <c r="G8" s="117"/>
      <c r="H8" s="117"/>
    </row>
    <row r="9" spans="1:8" ht="30" customHeight="1">
      <c r="A9" s="65" t="s">
        <v>93</v>
      </c>
      <c r="B9" s="66" t="s">
        <v>94</v>
      </c>
      <c r="C9" s="15">
        <v>3405581</v>
      </c>
      <c r="D9" s="15">
        <f>C9-145464</f>
        <v>3260117</v>
      </c>
      <c r="E9" s="15">
        <f t="shared" si="0"/>
        <v>-145464</v>
      </c>
      <c r="F9" s="94">
        <f t="shared" si="1"/>
        <v>0.9573</v>
      </c>
      <c r="G9" s="117"/>
      <c r="H9" s="117"/>
    </row>
    <row r="10" spans="1:89" s="14" customFormat="1" ht="63.75" customHeight="1">
      <c r="A10" s="63">
        <v>2</v>
      </c>
      <c r="B10" s="64" t="s">
        <v>152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3" t="str">
        <f t="shared" si="1"/>
        <v>-</v>
      </c>
      <c r="G10" s="117"/>
      <c r="H10" s="11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8" ht="30" customHeight="1">
      <c r="A11" s="65" t="s">
        <v>95</v>
      </c>
      <c r="B11" s="66" t="s">
        <v>96</v>
      </c>
      <c r="C11" s="15">
        <v>0</v>
      </c>
      <c r="D11" s="15">
        <f>C11</f>
        <v>0</v>
      </c>
      <c r="E11" s="15" t="str">
        <f t="shared" si="0"/>
        <v>-</v>
      </c>
      <c r="F11" s="94" t="str">
        <f t="shared" si="1"/>
        <v>-</v>
      </c>
      <c r="G11" s="117"/>
      <c r="H11" s="117"/>
    </row>
    <row r="12" spans="1:8" ht="30" customHeight="1">
      <c r="A12" s="65" t="s">
        <v>97</v>
      </c>
      <c r="B12" s="66" t="s">
        <v>98</v>
      </c>
      <c r="C12" s="15">
        <v>0</v>
      </c>
      <c r="D12" s="15">
        <f>C12</f>
        <v>0</v>
      </c>
      <c r="E12" s="15" t="str">
        <f t="shared" si="0"/>
        <v>-</v>
      </c>
      <c r="F12" s="94" t="str">
        <f t="shared" si="1"/>
        <v>-</v>
      </c>
      <c r="G12" s="117"/>
      <c r="H12" s="117"/>
    </row>
    <row r="13" spans="1:89" s="14" customFormat="1" ht="39.75" customHeight="1">
      <c r="A13" s="63">
        <v>3</v>
      </c>
      <c r="B13" s="64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3">
        <f t="shared" si="1"/>
        <v>1</v>
      </c>
      <c r="G13" s="117"/>
      <c r="H13" s="11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8" ht="30" customHeight="1">
      <c r="A14" s="65" t="s">
        <v>100</v>
      </c>
      <c r="B14" s="66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4">
        <f t="shared" si="1"/>
        <v>1</v>
      </c>
      <c r="G14" s="117"/>
      <c r="H14" s="117"/>
    </row>
    <row r="15" spans="1:8" ht="30" customHeight="1">
      <c r="A15" s="65" t="s">
        <v>101</v>
      </c>
      <c r="B15" s="66" t="s">
        <v>94</v>
      </c>
      <c r="C15" s="15">
        <v>0</v>
      </c>
      <c r="D15" s="15">
        <f>C15</f>
        <v>0</v>
      </c>
      <c r="E15" s="15" t="str">
        <f t="shared" si="0"/>
        <v>-</v>
      </c>
      <c r="F15" s="94" t="str">
        <f t="shared" si="1"/>
        <v>-</v>
      </c>
      <c r="G15" s="117"/>
      <c r="H15" s="117"/>
    </row>
    <row r="16" spans="1:89" s="14" customFormat="1" ht="63.75" customHeight="1">
      <c r="A16" s="63">
        <v>4</v>
      </c>
      <c r="B16" s="64" t="s">
        <v>240</v>
      </c>
      <c r="C16" s="13">
        <f>C17+C18</f>
        <v>105317</v>
      </c>
      <c r="D16" s="13">
        <f>D17+D18</f>
        <v>109979</v>
      </c>
      <c r="E16" s="13">
        <f t="shared" si="0"/>
        <v>4662</v>
      </c>
      <c r="F16" s="93">
        <f t="shared" si="1"/>
        <v>1.0443</v>
      </c>
      <c r="G16" s="117"/>
      <c r="H16" s="11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" ht="30" customHeight="1">
      <c r="A17" s="67" t="s">
        <v>102</v>
      </c>
      <c r="B17" s="66" t="s">
        <v>103</v>
      </c>
      <c r="C17" s="15">
        <f>ROUND(C8*0.99*0.002,0)</f>
        <v>98506</v>
      </c>
      <c r="D17" s="15">
        <f>ROUND((D8-D11)*0.99*0.002,0)</f>
        <v>103459</v>
      </c>
      <c r="E17" s="15">
        <f t="shared" si="0"/>
        <v>4953</v>
      </c>
      <c r="F17" s="94">
        <f t="shared" si="1"/>
        <v>1.0503</v>
      </c>
      <c r="G17" s="117"/>
      <c r="H17" s="117"/>
    </row>
    <row r="18" spans="1:8" ht="30" customHeight="1">
      <c r="A18" s="67" t="s">
        <v>104</v>
      </c>
      <c r="B18" s="66" t="s">
        <v>105</v>
      </c>
      <c r="C18" s="15">
        <f>ROUND(C9*0.002,0)</f>
        <v>6811</v>
      </c>
      <c r="D18" s="15">
        <f>ROUND(D9*0.002,0)</f>
        <v>6520</v>
      </c>
      <c r="E18" s="15">
        <f t="shared" si="0"/>
        <v>-291</v>
      </c>
      <c r="F18" s="94">
        <f t="shared" si="1"/>
        <v>0.9573</v>
      </c>
      <c r="G18" s="117"/>
      <c r="H18" s="117"/>
    </row>
    <row r="19" spans="1:89" s="14" customFormat="1" ht="63.75" customHeight="1">
      <c r="A19" s="68" t="s">
        <v>182</v>
      </c>
      <c r="B19" s="69" t="s">
        <v>181</v>
      </c>
      <c r="C19" s="13">
        <f>(C7-C10+C13-C16)+C20+C21+C22+C23</f>
        <v>55128911</v>
      </c>
      <c r="D19" s="13">
        <f>(D7-D10+D13-D16)+D20+D21+D22+D23</f>
        <v>57479988</v>
      </c>
      <c r="E19" s="13">
        <f t="shared" si="0"/>
        <v>2351077</v>
      </c>
      <c r="F19" s="93">
        <f t="shared" si="1"/>
        <v>1.0426</v>
      </c>
      <c r="G19" s="117"/>
      <c r="H19" s="14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" ht="31.5" customHeight="1">
      <c r="A20" s="65" t="s">
        <v>106</v>
      </c>
      <c r="B20" s="70" t="s">
        <v>107</v>
      </c>
      <c r="C20" s="15">
        <v>67600</v>
      </c>
      <c r="D20" s="15">
        <f>C20</f>
        <v>67600</v>
      </c>
      <c r="E20" s="15" t="str">
        <f t="shared" si="0"/>
        <v>-</v>
      </c>
      <c r="F20" s="94">
        <f t="shared" si="1"/>
        <v>1</v>
      </c>
      <c r="G20" s="117"/>
      <c r="H20" s="117"/>
    </row>
    <row r="21" spans="1:8" ht="31.5" customHeight="1">
      <c r="A21" s="65" t="s">
        <v>108</v>
      </c>
      <c r="B21" s="70" t="s">
        <v>109</v>
      </c>
      <c r="C21" s="15">
        <v>0</v>
      </c>
      <c r="D21" s="15">
        <f>C21</f>
        <v>0</v>
      </c>
      <c r="E21" s="15" t="str">
        <f t="shared" si="0"/>
        <v>-</v>
      </c>
      <c r="F21" s="94" t="str">
        <f t="shared" si="1"/>
        <v>-</v>
      </c>
      <c r="G21" s="117"/>
      <c r="H21" s="117"/>
    </row>
    <row r="22" spans="1:8" ht="50.25" customHeight="1">
      <c r="A22" s="65" t="s">
        <v>110</v>
      </c>
      <c r="B22" s="70" t="s">
        <v>145</v>
      </c>
      <c r="C22" s="15">
        <v>79900</v>
      </c>
      <c r="D22" s="15">
        <f>C22</f>
        <v>79900</v>
      </c>
      <c r="E22" s="15" t="str">
        <f t="shared" si="0"/>
        <v>-</v>
      </c>
      <c r="F22" s="94">
        <f t="shared" si="1"/>
        <v>1</v>
      </c>
      <c r="G22" s="117"/>
      <c r="H22" s="117"/>
    </row>
    <row r="23" spans="1:8" ht="31.5" customHeight="1">
      <c r="A23" s="65" t="s">
        <v>111</v>
      </c>
      <c r="B23" s="71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4">
        <f t="shared" si="1"/>
        <v>1</v>
      </c>
      <c r="G23" s="117"/>
      <c r="H23" s="117"/>
    </row>
    <row r="24" spans="1:89" s="14" customFormat="1" ht="36" customHeight="1">
      <c r="A24" s="68" t="s">
        <v>183</v>
      </c>
      <c r="B24" s="69" t="s">
        <v>151</v>
      </c>
      <c r="C24" s="13">
        <f>C25+C26+C47+C48</f>
        <v>56338491</v>
      </c>
      <c r="D24" s="13">
        <f>D25+D26+D47+D48</f>
        <v>58721135</v>
      </c>
      <c r="E24" s="13">
        <f t="shared" si="0"/>
        <v>2382644</v>
      </c>
      <c r="F24" s="93">
        <f t="shared" si="1"/>
        <v>1.0423</v>
      </c>
      <c r="G24" s="117"/>
      <c r="H24" s="11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s="14" customFormat="1" ht="36" customHeight="1">
      <c r="A25" s="68" t="s">
        <v>113</v>
      </c>
      <c r="B25" s="69" t="s">
        <v>114</v>
      </c>
      <c r="C25" s="13">
        <v>0</v>
      </c>
      <c r="D25" s="13">
        <v>0</v>
      </c>
      <c r="E25" s="13" t="str">
        <f t="shared" si="0"/>
        <v>-</v>
      </c>
      <c r="F25" s="93" t="str">
        <f t="shared" si="1"/>
        <v>-</v>
      </c>
      <c r="G25" s="117"/>
      <c r="H25" s="11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s="14" customFormat="1" ht="36" customHeight="1">
      <c r="A26" s="68" t="s">
        <v>0</v>
      </c>
      <c r="B26" s="69" t="s">
        <v>188</v>
      </c>
      <c r="C26" s="34">
        <f>C27+C28+C29+C31+C32+C33+C34+C35+C36+C37+C38+C39+C40+C41+C43+C44+C45+C46</f>
        <v>54607991</v>
      </c>
      <c r="D26" s="34">
        <f>D27+D28+D29+D31+D32+D33+D34+D35+D36+D37+D38+D39+D40+D41+D43+D44+D45+D46</f>
        <v>56990635</v>
      </c>
      <c r="E26" s="99">
        <f>IF(C26=D26,"-",D26-C26)</f>
        <v>2382644</v>
      </c>
      <c r="F26" s="95">
        <f t="shared" si="1"/>
        <v>1.0436</v>
      </c>
      <c r="G26" s="117"/>
      <c r="H26" s="11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</row>
    <row r="27" spans="1:8" ht="30" customHeight="1">
      <c r="A27" s="72" t="s">
        <v>1</v>
      </c>
      <c r="B27" s="74" t="s">
        <v>165</v>
      </c>
      <c r="C27" s="15">
        <f>CENTRALA!C8+'Razem OW'!C8</f>
        <v>7225704</v>
      </c>
      <c r="D27" s="15">
        <f>CENTRALA!D8+'Razem OW'!D8</f>
        <v>7274510</v>
      </c>
      <c r="E27" s="145">
        <f t="shared" si="0"/>
        <v>48806</v>
      </c>
      <c r="F27" s="94">
        <f t="shared" si="1"/>
        <v>1.0068</v>
      </c>
      <c r="G27" s="117"/>
      <c r="H27" s="117"/>
    </row>
    <row r="28" spans="1:8" ht="30" customHeight="1">
      <c r="A28" s="72" t="s">
        <v>2</v>
      </c>
      <c r="B28" s="74" t="s">
        <v>166</v>
      </c>
      <c r="C28" s="15">
        <f>CENTRALA!C9+'Razem OW'!C9</f>
        <v>4158278</v>
      </c>
      <c r="D28" s="15">
        <f>CENTRALA!D9+'Razem OW'!D9</f>
        <v>4227275</v>
      </c>
      <c r="E28" s="145">
        <f>IF(C28=D28,"-",D28-C28)</f>
        <v>68997</v>
      </c>
      <c r="F28" s="94">
        <f t="shared" si="1"/>
        <v>1.0166</v>
      </c>
      <c r="G28" s="117"/>
      <c r="H28" s="117"/>
    </row>
    <row r="29" spans="1:8" ht="30" customHeight="1">
      <c r="A29" s="72" t="s">
        <v>3</v>
      </c>
      <c r="B29" s="74" t="s">
        <v>157</v>
      </c>
      <c r="C29" s="15">
        <f>CENTRALA!C10+'Razem OW'!C10</f>
        <v>25891214</v>
      </c>
      <c r="D29" s="15">
        <f>CENTRALA!D10+'Razem OW'!D10</f>
        <v>26728906</v>
      </c>
      <c r="E29" s="145">
        <f t="shared" si="0"/>
        <v>837692</v>
      </c>
      <c r="F29" s="94">
        <f t="shared" si="1"/>
        <v>1.0324</v>
      </c>
      <c r="G29" s="117"/>
      <c r="H29" s="117"/>
    </row>
    <row r="30" spans="1:8" ht="30" customHeight="1">
      <c r="A30" s="72" t="s">
        <v>64</v>
      </c>
      <c r="B30" s="73" t="s">
        <v>65</v>
      </c>
      <c r="C30" s="15">
        <f>CENTRALA!C11+'Razem OW'!C11</f>
        <v>1499156</v>
      </c>
      <c r="D30" s="15">
        <f>CENTRALA!D11+'Razem OW'!D11</f>
        <v>1643210</v>
      </c>
      <c r="E30" s="145">
        <f t="shared" si="0"/>
        <v>144054</v>
      </c>
      <c r="F30" s="94">
        <f t="shared" si="1"/>
        <v>1.0961</v>
      </c>
      <c r="G30" s="117"/>
      <c r="H30" s="117"/>
    </row>
    <row r="31" spans="1:8" ht="30" customHeight="1">
      <c r="A31" s="72" t="s">
        <v>4</v>
      </c>
      <c r="B31" s="74" t="s">
        <v>172</v>
      </c>
      <c r="C31" s="15">
        <f>CENTRALA!C12+'Razem OW'!C12</f>
        <v>1961212</v>
      </c>
      <c r="D31" s="15">
        <f>CENTRALA!D12+'Razem OW'!D12</f>
        <v>1986187</v>
      </c>
      <c r="E31" s="145">
        <f t="shared" si="0"/>
        <v>24975</v>
      </c>
      <c r="F31" s="94">
        <f t="shared" si="1"/>
        <v>1.0127</v>
      </c>
      <c r="G31" s="117"/>
      <c r="H31" s="117"/>
    </row>
    <row r="32" spans="1:8" ht="30" customHeight="1">
      <c r="A32" s="72" t="s">
        <v>5</v>
      </c>
      <c r="B32" s="74" t="s">
        <v>167</v>
      </c>
      <c r="C32" s="15">
        <f>CENTRALA!C13+'Razem OW'!C13</f>
        <v>1699606</v>
      </c>
      <c r="D32" s="15">
        <f>CENTRALA!D13+'Razem OW'!D13</f>
        <v>1750140</v>
      </c>
      <c r="E32" s="145">
        <f t="shared" si="0"/>
        <v>50534</v>
      </c>
      <c r="F32" s="94">
        <f t="shared" si="1"/>
        <v>1.0297</v>
      </c>
      <c r="G32" s="117"/>
      <c r="H32" s="117"/>
    </row>
    <row r="33" spans="1:8" ht="30" customHeight="1">
      <c r="A33" s="72" t="s">
        <v>6</v>
      </c>
      <c r="B33" s="74" t="s">
        <v>176</v>
      </c>
      <c r="C33" s="15">
        <f>CENTRALA!C14+'Razem OW'!C14</f>
        <v>931195</v>
      </c>
      <c r="D33" s="15">
        <f>CENTRALA!D14+'Razem OW'!D14</f>
        <v>947224</v>
      </c>
      <c r="E33" s="145">
        <f t="shared" si="0"/>
        <v>16029</v>
      </c>
      <c r="F33" s="94">
        <f t="shared" si="1"/>
        <v>1.0172</v>
      </c>
      <c r="G33" s="117"/>
      <c r="H33" s="117"/>
    </row>
    <row r="34" spans="1:8" ht="30" customHeight="1">
      <c r="A34" s="72" t="s">
        <v>7</v>
      </c>
      <c r="B34" s="74" t="s">
        <v>175</v>
      </c>
      <c r="C34" s="15">
        <f>CENTRALA!C15+'Razem OW'!C15</f>
        <v>275245</v>
      </c>
      <c r="D34" s="15">
        <f>CENTRALA!D15+'Razem OW'!D15</f>
        <v>289095</v>
      </c>
      <c r="E34" s="145">
        <f>IF(C34=D34,"-",D34-C34)</f>
        <v>13850</v>
      </c>
      <c r="F34" s="94">
        <f>IF(C34=0,"-",D34/C34)</f>
        <v>1.0503</v>
      </c>
      <c r="G34" s="117"/>
      <c r="H34" s="117"/>
    </row>
    <row r="35" spans="1:8" ht="30" customHeight="1">
      <c r="A35" s="72" t="s">
        <v>8</v>
      </c>
      <c r="B35" s="74" t="s">
        <v>168</v>
      </c>
      <c r="C35" s="15">
        <f>CENTRALA!C16+'Razem OW'!C16</f>
        <v>1746292</v>
      </c>
      <c r="D35" s="15">
        <f>CENTRALA!D16+'Razem OW'!D16</f>
        <v>1753170</v>
      </c>
      <c r="E35" s="145">
        <f t="shared" si="0"/>
        <v>6878</v>
      </c>
      <c r="F35" s="94">
        <f t="shared" si="1"/>
        <v>1.0039</v>
      </c>
      <c r="G35" s="117"/>
      <c r="H35" s="117"/>
    </row>
    <row r="36" spans="1:8" ht="30" customHeight="1">
      <c r="A36" s="72" t="s">
        <v>9</v>
      </c>
      <c r="B36" s="74" t="s">
        <v>169</v>
      </c>
      <c r="C36" s="15">
        <f>CENTRALA!C17+'Razem OW'!C17</f>
        <v>549796</v>
      </c>
      <c r="D36" s="15">
        <f>CENTRALA!D17+'Razem OW'!D17</f>
        <v>550796</v>
      </c>
      <c r="E36" s="145">
        <f t="shared" si="0"/>
        <v>1000</v>
      </c>
      <c r="F36" s="94">
        <f t="shared" si="1"/>
        <v>1.0018</v>
      </c>
      <c r="G36" s="117"/>
      <c r="H36" s="117"/>
    </row>
    <row r="37" spans="1:8" ht="30" customHeight="1">
      <c r="A37" s="72" t="s">
        <v>10</v>
      </c>
      <c r="B37" s="74" t="s">
        <v>177</v>
      </c>
      <c r="C37" s="15">
        <f>CENTRALA!C18+'Razem OW'!C18</f>
        <v>37595</v>
      </c>
      <c r="D37" s="15">
        <f>CENTRALA!D18+'Razem OW'!D18</f>
        <v>37745</v>
      </c>
      <c r="E37" s="145">
        <f t="shared" si="0"/>
        <v>150</v>
      </c>
      <c r="F37" s="94">
        <f t="shared" si="1"/>
        <v>1.004</v>
      </c>
      <c r="G37" s="117"/>
      <c r="H37" s="117"/>
    </row>
    <row r="38" spans="1:8" ht="30" customHeight="1">
      <c r="A38" s="72" t="s">
        <v>11</v>
      </c>
      <c r="B38" s="74" t="s">
        <v>170</v>
      </c>
      <c r="C38" s="15">
        <f>CENTRALA!C19+'Razem OW'!C19</f>
        <v>124286</v>
      </c>
      <c r="D38" s="15">
        <f>CENTRALA!D19+'Razem OW'!D19</f>
        <v>136047</v>
      </c>
      <c r="E38" s="145">
        <f t="shared" si="0"/>
        <v>11761</v>
      </c>
      <c r="F38" s="94">
        <f t="shared" si="1"/>
        <v>1.0946</v>
      </c>
      <c r="G38" s="117"/>
      <c r="H38" s="117"/>
    </row>
    <row r="39" spans="1:8" ht="30" customHeight="1">
      <c r="A39" s="72" t="s">
        <v>12</v>
      </c>
      <c r="B39" s="74" t="s">
        <v>171</v>
      </c>
      <c r="C39" s="15">
        <f>CENTRALA!C20+'Razem OW'!C20</f>
        <v>1346291</v>
      </c>
      <c r="D39" s="15">
        <f>CENTRALA!D20+'Razem OW'!D20</f>
        <v>1397642</v>
      </c>
      <c r="E39" s="145">
        <f t="shared" si="0"/>
        <v>51351</v>
      </c>
      <c r="F39" s="94">
        <f t="shared" si="1"/>
        <v>1.0381</v>
      </c>
      <c r="G39" s="117"/>
      <c r="H39" s="117"/>
    </row>
    <row r="40" spans="1:8" ht="30" customHeight="1">
      <c r="A40" s="72" t="s">
        <v>14</v>
      </c>
      <c r="B40" s="74" t="s">
        <v>13</v>
      </c>
      <c r="C40" s="15">
        <f>CENTRALA!C21+'Razem OW'!C21</f>
        <v>567617</v>
      </c>
      <c r="D40" s="15">
        <f>CENTRALA!D21+'Razem OW'!D21</f>
        <v>579917</v>
      </c>
      <c r="E40" s="145">
        <f t="shared" si="0"/>
        <v>12300</v>
      </c>
      <c r="F40" s="94">
        <f t="shared" si="1"/>
        <v>1.0217</v>
      </c>
      <c r="G40" s="117"/>
      <c r="H40" s="117"/>
    </row>
    <row r="41" spans="1:8" ht="30" customHeight="1">
      <c r="A41" s="72" t="s">
        <v>15</v>
      </c>
      <c r="B41" s="74" t="s">
        <v>173</v>
      </c>
      <c r="C41" s="15">
        <f>CENTRALA!C22+'Razem OW'!C22</f>
        <v>7596729</v>
      </c>
      <c r="D41" s="15">
        <f>CENTRALA!D22+'Razem OW'!D22</f>
        <v>8495644</v>
      </c>
      <c r="E41" s="145">
        <f t="shared" si="0"/>
        <v>898915</v>
      </c>
      <c r="F41" s="94">
        <f t="shared" si="1"/>
        <v>1.1183</v>
      </c>
      <c r="G41" s="117"/>
      <c r="H41" s="117"/>
    </row>
    <row r="42" spans="1:8" ht="30" customHeight="1">
      <c r="A42" s="72" t="s">
        <v>178</v>
      </c>
      <c r="B42" s="73" t="s">
        <v>66</v>
      </c>
      <c r="C42" s="15">
        <f>CENTRALA!C23+'Razem OW'!C23</f>
        <v>24690</v>
      </c>
      <c r="D42" s="15">
        <f>CENTRALA!D23+'Razem OW'!D23</f>
        <v>26290</v>
      </c>
      <c r="E42" s="145">
        <f t="shared" si="0"/>
        <v>1600</v>
      </c>
      <c r="F42" s="94">
        <f t="shared" si="1"/>
        <v>1.0648</v>
      </c>
      <c r="G42" s="117"/>
      <c r="H42" s="117"/>
    </row>
    <row r="43" spans="1:8" ht="36" customHeight="1">
      <c r="A43" s="72" t="s">
        <v>16</v>
      </c>
      <c r="B43" s="74" t="s">
        <v>140</v>
      </c>
      <c r="C43" s="15">
        <f>CENTRALA!C24+'Razem OW'!C24</f>
        <v>416230</v>
      </c>
      <c r="D43" s="15">
        <f>CENTRALA!D24+'Razem OW'!D24</f>
        <v>416230</v>
      </c>
      <c r="E43" s="145" t="str">
        <f t="shared" si="0"/>
        <v>-</v>
      </c>
      <c r="F43" s="94">
        <f t="shared" si="1"/>
        <v>1</v>
      </c>
      <c r="G43" s="117"/>
      <c r="H43" s="117"/>
    </row>
    <row r="44" spans="1:8" ht="30" customHeight="1">
      <c r="A44" s="72" t="s">
        <v>137</v>
      </c>
      <c r="B44" s="74" t="s">
        <v>60</v>
      </c>
      <c r="C44" s="15">
        <f>CENTRALA!C25+'Razem OW'!C25</f>
        <v>11000</v>
      </c>
      <c r="D44" s="15">
        <f>CENTRALA!D25+'Razem OW'!D25</f>
        <v>11000</v>
      </c>
      <c r="E44" s="145" t="str">
        <f t="shared" si="0"/>
        <v>-</v>
      </c>
      <c r="F44" s="94">
        <f t="shared" si="1"/>
        <v>1</v>
      </c>
      <c r="G44" s="117"/>
      <c r="H44" s="117"/>
    </row>
    <row r="45" spans="1:8" ht="30" customHeight="1">
      <c r="A45" s="72" t="s">
        <v>138</v>
      </c>
      <c r="B45" s="74" t="s">
        <v>141</v>
      </c>
      <c r="C45" s="15">
        <f>CENTRALA!C26+'Razem OW'!C26</f>
        <v>0</v>
      </c>
      <c r="D45" s="15">
        <f>CENTRALA!D26+'Razem OW'!D26</f>
        <v>0</v>
      </c>
      <c r="E45" s="145" t="str">
        <f t="shared" si="0"/>
        <v>-</v>
      </c>
      <c r="F45" s="94" t="str">
        <f t="shared" si="1"/>
        <v>-</v>
      </c>
      <c r="G45" s="117"/>
      <c r="H45" s="117"/>
    </row>
    <row r="46" spans="1:8" ht="30" customHeight="1">
      <c r="A46" s="72" t="s">
        <v>139</v>
      </c>
      <c r="B46" s="74" t="s">
        <v>142</v>
      </c>
      <c r="C46" s="15">
        <f>CENTRALA!C27+'Razem OW'!C27</f>
        <v>69701</v>
      </c>
      <c r="D46" s="15">
        <f>CENTRALA!D27+'Razem OW'!D27</f>
        <v>409107</v>
      </c>
      <c r="E46" s="145">
        <f aca="true" t="shared" si="2" ref="E46:E91">IF(C46=D46,"-",D46-C46)</f>
        <v>339406</v>
      </c>
      <c r="F46" s="94">
        <f aca="true" t="shared" si="3" ref="F46:F91">IF(C46=0,"-",D46/C46)</f>
        <v>5.8695</v>
      </c>
      <c r="G46" s="117"/>
      <c r="H46" s="117"/>
    </row>
    <row r="47" spans="1:89" s="14" customFormat="1" ht="30.75" customHeight="1">
      <c r="A47" s="44" t="s">
        <v>68</v>
      </c>
      <c r="B47" s="75" t="s">
        <v>115</v>
      </c>
      <c r="C47" s="29">
        <f>CENTRALA!C28+'Razem OW'!C28</f>
        <v>0</v>
      </c>
      <c r="D47" s="29">
        <f>CENTRALA!D28+'Razem OW'!D28</f>
        <v>0</v>
      </c>
      <c r="E47" s="29" t="str">
        <f t="shared" si="2"/>
        <v>-</v>
      </c>
      <c r="F47" s="96" t="str">
        <f t="shared" si="3"/>
        <v>-</v>
      </c>
      <c r="G47" s="117"/>
      <c r="H47" s="117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</row>
    <row r="48" spans="1:89" s="14" customFormat="1" ht="30.75" customHeight="1">
      <c r="A48" s="44" t="s">
        <v>67</v>
      </c>
      <c r="B48" s="75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3">
        <f t="shared" si="3"/>
        <v>1</v>
      </c>
      <c r="G48" s="117"/>
      <c r="H48" s="117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</row>
    <row r="49" spans="1:89" s="14" customFormat="1" ht="33" customHeight="1">
      <c r="A49" s="63" t="s">
        <v>184</v>
      </c>
      <c r="B49" s="64" t="s">
        <v>150</v>
      </c>
      <c r="C49" s="13">
        <f>C19-C24</f>
        <v>-1209580</v>
      </c>
      <c r="D49" s="13">
        <f>D19-D24</f>
        <v>-1241147</v>
      </c>
      <c r="E49" s="13">
        <f t="shared" si="2"/>
        <v>-31567</v>
      </c>
      <c r="F49" s="93">
        <f t="shared" si="3"/>
        <v>1.0261</v>
      </c>
      <c r="G49" s="117"/>
      <c r="H49" s="117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</row>
    <row r="50" spans="1:89" s="14" customFormat="1" ht="33" customHeight="1">
      <c r="A50" s="63" t="s">
        <v>185</v>
      </c>
      <c r="B50" s="64" t="s">
        <v>149</v>
      </c>
      <c r="C50" s="13">
        <f>C51+C52+C53+C61+C62+C67+C68+C69+C70</f>
        <v>646896</v>
      </c>
      <c r="D50" s="13">
        <f>D51+D52+D53+D61+D62+D67+D68+D69+D70</f>
        <v>646896</v>
      </c>
      <c r="E50" s="13" t="str">
        <f t="shared" si="2"/>
        <v>-</v>
      </c>
      <c r="F50" s="93">
        <f t="shared" si="3"/>
        <v>1</v>
      </c>
      <c r="G50" s="117"/>
      <c r="H50" s="11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</row>
    <row r="51" spans="1:8" ht="30" customHeight="1">
      <c r="A51" s="65" t="s">
        <v>19</v>
      </c>
      <c r="B51" s="61" t="s">
        <v>20</v>
      </c>
      <c r="C51" s="15">
        <f>CENTRALA!C31+'Razem OW'!C31</f>
        <v>20530</v>
      </c>
      <c r="D51" s="15">
        <f>CENTRALA!D31+'Razem OW'!D31</f>
        <v>20530</v>
      </c>
      <c r="E51" s="15" t="str">
        <f t="shared" si="2"/>
        <v>-</v>
      </c>
      <c r="F51" s="94">
        <f t="shared" si="3"/>
        <v>1</v>
      </c>
      <c r="G51" s="117"/>
      <c r="H51" s="117"/>
    </row>
    <row r="52" spans="1:8" ht="30" customHeight="1">
      <c r="A52" s="65" t="s">
        <v>21</v>
      </c>
      <c r="B52" s="61" t="s">
        <v>22</v>
      </c>
      <c r="C52" s="15">
        <f>CENTRALA!C32+'Razem OW'!C32</f>
        <v>133802</v>
      </c>
      <c r="D52" s="15">
        <f>CENTRALA!D32+'Razem OW'!D32</f>
        <v>133802</v>
      </c>
      <c r="E52" s="15" t="str">
        <f t="shared" si="2"/>
        <v>-</v>
      </c>
      <c r="F52" s="94">
        <f t="shared" si="3"/>
        <v>1</v>
      </c>
      <c r="G52" s="117"/>
      <c r="H52" s="117"/>
    </row>
    <row r="53" spans="1:8" ht="30" customHeight="1">
      <c r="A53" s="65" t="s">
        <v>23</v>
      </c>
      <c r="B53" s="76" t="s">
        <v>37</v>
      </c>
      <c r="C53" s="15">
        <f>C54+C56+C57+C58+C59+C60</f>
        <v>3888</v>
      </c>
      <c r="D53" s="15">
        <f>D54+D56+D57+D58+D59+D60</f>
        <v>3888</v>
      </c>
      <c r="E53" s="15" t="str">
        <f t="shared" si="2"/>
        <v>-</v>
      </c>
      <c r="F53" s="94">
        <f t="shared" si="3"/>
        <v>1</v>
      </c>
      <c r="G53" s="117"/>
      <c r="H53" s="117"/>
    </row>
    <row r="54" spans="1:8" s="17" customFormat="1" ht="30" customHeight="1">
      <c r="A54" s="77" t="s">
        <v>45</v>
      </c>
      <c r="B54" s="78" t="s">
        <v>38</v>
      </c>
      <c r="C54" s="15">
        <f>CENTRALA!C34+'Razem OW'!C34</f>
        <v>469</v>
      </c>
      <c r="D54" s="15">
        <f>CENTRALA!D34+'Razem OW'!D34</f>
        <v>469</v>
      </c>
      <c r="E54" s="15" t="str">
        <f t="shared" si="2"/>
        <v>-</v>
      </c>
      <c r="F54" s="94">
        <f t="shared" si="3"/>
        <v>1</v>
      </c>
      <c r="G54" s="117"/>
      <c r="H54" s="117"/>
    </row>
    <row r="55" spans="1:8" s="17" customFormat="1" ht="30" customHeight="1">
      <c r="A55" s="77" t="s">
        <v>46</v>
      </c>
      <c r="B55" s="79" t="s">
        <v>39</v>
      </c>
      <c r="C55" s="15">
        <f>CENTRALA!C35+'Razem OW'!C35</f>
        <v>446</v>
      </c>
      <c r="D55" s="15">
        <f>CENTRALA!D35+'Razem OW'!D35</f>
        <v>446</v>
      </c>
      <c r="E55" s="15" t="str">
        <f t="shared" si="2"/>
        <v>-</v>
      </c>
      <c r="F55" s="94">
        <f t="shared" si="3"/>
        <v>1</v>
      </c>
      <c r="G55" s="117"/>
      <c r="H55" s="117"/>
    </row>
    <row r="56" spans="1:8" s="17" customFormat="1" ht="30" customHeight="1">
      <c r="A56" s="77" t="s">
        <v>47</v>
      </c>
      <c r="B56" s="78" t="s">
        <v>40</v>
      </c>
      <c r="C56" s="15">
        <f>CENTRALA!C36+'Razem OW'!C36</f>
        <v>121</v>
      </c>
      <c r="D56" s="15">
        <f>CENTRALA!D36+'Razem OW'!D36</f>
        <v>121</v>
      </c>
      <c r="E56" s="15" t="str">
        <f t="shared" si="2"/>
        <v>-</v>
      </c>
      <c r="F56" s="94">
        <f t="shared" si="3"/>
        <v>1</v>
      </c>
      <c r="G56" s="117"/>
      <c r="H56" s="117"/>
    </row>
    <row r="57" spans="1:8" s="17" customFormat="1" ht="30" customHeight="1">
      <c r="A57" s="77" t="s">
        <v>48</v>
      </c>
      <c r="B57" s="78" t="s">
        <v>41</v>
      </c>
      <c r="C57" s="15">
        <f>CENTRALA!C37+'Razem OW'!C37</f>
        <v>18</v>
      </c>
      <c r="D57" s="15">
        <f>CENTRALA!D37+'Razem OW'!D37</f>
        <v>18</v>
      </c>
      <c r="E57" s="15" t="str">
        <f t="shared" si="2"/>
        <v>-</v>
      </c>
      <c r="F57" s="94">
        <f t="shared" si="3"/>
        <v>1</v>
      </c>
      <c r="G57" s="117"/>
      <c r="H57" s="117"/>
    </row>
    <row r="58" spans="1:8" s="17" customFormat="1" ht="30" customHeight="1">
      <c r="A58" s="77" t="s">
        <v>49</v>
      </c>
      <c r="B58" s="78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4" t="str">
        <f t="shared" si="3"/>
        <v>-</v>
      </c>
      <c r="G58" s="117"/>
      <c r="H58" s="117"/>
    </row>
    <row r="59" spans="1:8" s="17" customFormat="1" ht="30" customHeight="1">
      <c r="A59" s="77" t="s">
        <v>50</v>
      </c>
      <c r="B59" s="78" t="s">
        <v>43</v>
      </c>
      <c r="C59" s="15">
        <f>CENTRALA!C39+'Razem OW'!C39</f>
        <v>3067</v>
      </c>
      <c r="D59" s="15">
        <f>CENTRALA!D39+'Razem OW'!D39</f>
        <v>3067</v>
      </c>
      <c r="E59" s="15" t="str">
        <f t="shared" si="2"/>
        <v>-</v>
      </c>
      <c r="F59" s="94">
        <f t="shared" si="3"/>
        <v>1</v>
      </c>
      <c r="G59" s="117"/>
      <c r="H59" s="117"/>
    </row>
    <row r="60" spans="1:8" s="18" customFormat="1" ht="30" customHeight="1">
      <c r="A60" s="77" t="s">
        <v>51</v>
      </c>
      <c r="B60" s="78" t="s">
        <v>44</v>
      </c>
      <c r="C60" s="15">
        <f>CENTRALA!C40+'Razem OW'!C40</f>
        <v>213</v>
      </c>
      <c r="D60" s="15">
        <f>CENTRALA!D40+'Razem OW'!D40</f>
        <v>213</v>
      </c>
      <c r="E60" s="15" t="str">
        <f t="shared" si="2"/>
        <v>-</v>
      </c>
      <c r="F60" s="94">
        <f t="shared" si="3"/>
        <v>1</v>
      </c>
      <c r="G60" s="117"/>
      <c r="H60" s="117"/>
    </row>
    <row r="61" spans="1:8" ht="30" customHeight="1">
      <c r="A61" s="43" t="s">
        <v>24</v>
      </c>
      <c r="B61" s="61" t="s">
        <v>25</v>
      </c>
      <c r="C61" s="15">
        <f>CENTRALA!C41+'Razem OW'!C41</f>
        <v>300346</v>
      </c>
      <c r="D61" s="15">
        <f>CENTRALA!D41+'Razem OW'!D41</f>
        <v>300346</v>
      </c>
      <c r="E61" s="15" t="str">
        <f t="shared" si="2"/>
        <v>-</v>
      </c>
      <c r="F61" s="94">
        <f t="shared" si="3"/>
        <v>1</v>
      </c>
      <c r="G61" s="117"/>
      <c r="H61" s="117"/>
    </row>
    <row r="62" spans="1:8" ht="30" customHeight="1">
      <c r="A62" s="65" t="s">
        <v>26</v>
      </c>
      <c r="B62" s="70" t="s">
        <v>61</v>
      </c>
      <c r="C62" s="15">
        <f>SUM(C63:C66)</f>
        <v>61596</v>
      </c>
      <c r="D62" s="15">
        <f>SUM(D63:D66)</f>
        <v>61596</v>
      </c>
      <c r="E62" s="15" t="str">
        <f t="shared" si="2"/>
        <v>-</v>
      </c>
      <c r="F62" s="94">
        <f t="shared" si="3"/>
        <v>1</v>
      </c>
      <c r="G62" s="117"/>
      <c r="H62" s="117"/>
    </row>
    <row r="63" spans="1:8" s="17" customFormat="1" ht="30" customHeight="1">
      <c r="A63" s="77" t="s">
        <v>56</v>
      </c>
      <c r="B63" s="78" t="s">
        <v>52</v>
      </c>
      <c r="C63" s="15">
        <f>CENTRALA!C43+'Razem OW'!C43</f>
        <v>45428</v>
      </c>
      <c r="D63" s="15">
        <f>CENTRALA!D43+'Razem OW'!D43</f>
        <v>45428</v>
      </c>
      <c r="E63" s="15" t="str">
        <f t="shared" si="2"/>
        <v>-</v>
      </c>
      <c r="F63" s="94">
        <f t="shared" si="3"/>
        <v>1</v>
      </c>
      <c r="G63" s="117"/>
      <c r="H63" s="117"/>
    </row>
    <row r="64" spans="1:8" s="17" customFormat="1" ht="30" customHeight="1">
      <c r="A64" s="77" t="s">
        <v>57</v>
      </c>
      <c r="B64" s="78" t="s">
        <v>53</v>
      </c>
      <c r="C64" s="15">
        <f>CENTRALA!C44+'Razem OW'!C44</f>
        <v>7360</v>
      </c>
      <c r="D64" s="15">
        <f>CENTRALA!D44+'Razem OW'!D44</f>
        <v>7360</v>
      </c>
      <c r="E64" s="15" t="str">
        <f t="shared" si="2"/>
        <v>-</v>
      </c>
      <c r="F64" s="94">
        <f t="shared" si="3"/>
        <v>1</v>
      </c>
      <c r="G64" s="117"/>
      <c r="H64" s="117"/>
    </row>
    <row r="65" spans="1:8" s="17" customFormat="1" ht="30" customHeight="1">
      <c r="A65" s="77" t="s">
        <v>58</v>
      </c>
      <c r="B65" s="78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4" t="str">
        <f t="shared" si="3"/>
        <v>-</v>
      </c>
      <c r="G65" s="117"/>
      <c r="H65" s="117"/>
    </row>
    <row r="66" spans="1:8" s="17" customFormat="1" ht="30" customHeight="1">
      <c r="A66" s="77" t="s">
        <v>59</v>
      </c>
      <c r="B66" s="78" t="s">
        <v>55</v>
      </c>
      <c r="C66" s="15">
        <f>CENTRALA!C46+'Razem OW'!C46</f>
        <v>8808</v>
      </c>
      <c r="D66" s="15">
        <f>CENTRALA!D46+'Razem OW'!D46</f>
        <v>8808</v>
      </c>
      <c r="E66" s="15" t="str">
        <f t="shared" si="2"/>
        <v>-</v>
      </c>
      <c r="F66" s="94">
        <f t="shared" si="3"/>
        <v>1</v>
      </c>
      <c r="G66" s="117"/>
      <c r="H66" s="117"/>
    </row>
    <row r="67" spans="1:8" ht="30" customHeight="1">
      <c r="A67" s="65" t="s">
        <v>27</v>
      </c>
      <c r="B67" s="66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4">
        <f t="shared" si="3"/>
        <v>1</v>
      </c>
      <c r="G67" s="117"/>
      <c r="H67" s="117"/>
    </row>
    <row r="68" spans="1:8" ht="42" customHeight="1">
      <c r="A68" s="65" t="s">
        <v>29</v>
      </c>
      <c r="B68" s="66" t="s">
        <v>116</v>
      </c>
      <c r="C68" s="15">
        <f>CENTRALA!C48+'Razem OW'!C48</f>
        <v>116842</v>
      </c>
      <c r="D68" s="15">
        <f>CENTRALA!D48+'Razem OW'!D48</f>
        <v>116842</v>
      </c>
      <c r="E68" s="15" t="str">
        <f t="shared" si="2"/>
        <v>-</v>
      </c>
      <c r="F68" s="94">
        <f t="shared" si="3"/>
        <v>1</v>
      </c>
      <c r="G68" s="117"/>
      <c r="H68" s="117"/>
    </row>
    <row r="69" spans="1:8" ht="42" customHeight="1">
      <c r="A69" s="65" t="s">
        <v>30</v>
      </c>
      <c r="B69" s="66" t="s">
        <v>31</v>
      </c>
      <c r="C69" s="15">
        <f>CENTRALA!C49+'Razem OW'!C49</f>
        <v>3948</v>
      </c>
      <c r="D69" s="15">
        <f>CENTRALA!D49+'Razem OW'!D49</f>
        <v>3948</v>
      </c>
      <c r="E69" s="15" t="str">
        <f t="shared" si="2"/>
        <v>-</v>
      </c>
      <c r="F69" s="94">
        <f t="shared" si="3"/>
        <v>1</v>
      </c>
      <c r="G69" s="117"/>
      <c r="H69" s="117"/>
    </row>
    <row r="70" spans="1:8" ht="30" customHeight="1">
      <c r="A70" s="65" t="s">
        <v>32</v>
      </c>
      <c r="B70" s="66" t="s">
        <v>33</v>
      </c>
      <c r="C70" s="15">
        <f>CENTRALA!C50+'Razem OW'!C50</f>
        <v>5744</v>
      </c>
      <c r="D70" s="15">
        <f>CENTRALA!D50+'Razem OW'!D50</f>
        <v>5744</v>
      </c>
      <c r="E70" s="15" t="str">
        <f t="shared" si="2"/>
        <v>-</v>
      </c>
      <c r="F70" s="94">
        <f t="shared" si="3"/>
        <v>1</v>
      </c>
      <c r="G70" s="117"/>
      <c r="H70" s="117"/>
    </row>
    <row r="71" spans="1:89" s="14" customFormat="1" ht="33" customHeight="1">
      <c r="A71" s="80" t="s">
        <v>186</v>
      </c>
      <c r="B71" s="81" t="s">
        <v>189</v>
      </c>
      <c r="C71" s="13">
        <f>SUM(C72:C73)</f>
        <v>4477</v>
      </c>
      <c r="D71" s="13">
        <f>SUM(D72:D73)</f>
        <v>4477</v>
      </c>
      <c r="E71" s="13" t="str">
        <f t="shared" si="2"/>
        <v>-</v>
      </c>
      <c r="F71" s="93">
        <f t="shared" si="3"/>
        <v>1</v>
      </c>
      <c r="G71" s="117"/>
      <c r="H71" s="117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</row>
    <row r="72" spans="1:8" ht="72" customHeight="1">
      <c r="A72" s="65" t="s">
        <v>117</v>
      </c>
      <c r="B72" s="66" t="s">
        <v>200</v>
      </c>
      <c r="C72" s="15">
        <v>1796</v>
      </c>
      <c r="D72" s="15">
        <f>C72</f>
        <v>1796</v>
      </c>
      <c r="E72" s="15" t="str">
        <f t="shared" si="2"/>
        <v>-</v>
      </c>
      <c r="F72" s="94">
        <f t="shared" si="3"/>
        <v>1</v>
      </c>
      <c r="G72" s="117"/>
      <c r="H72" s="117"/>
    </row>
    <row r="73" spans="1:8" ht="30" customHeight="1">
      <c r="A73" s="65" t="s">
        <v>153</v>
      </c>
      <c r="B73" s="70" t="s">
        <v>118</v>
      </c>
      <c r="C73" s="15">
        <v>2681</v>
      </c>
      <c r="D73" s="15">
        <f>C73</f>
        <v>2681</v>
      </c>
      <c r="E73" s="15" t="str">
        <f t="shared" si="2"/>
        <v>-</v>
      </c>
      <c r="F73" s="94">
        <f t="shared" si="3"/>
        <v>1</v>
      </c>
      <c r="G73" s="117"/>
      <c r="H73" s="117"/>
    </row>
    <row r="74" spans="1:89" s="14" customFormat="1" ht="33" customHeight="1">
      <c r="A74" s="80" t="s">
        <v>190</v>
      </c>
      <c r="B74" s="81" t="s">
        <v>187</v>
      </c>
      <c r="C74" s="13">
        <f>C75+C76+C77+C78</f>
        <v>307744</v>
      </c>
      <c r="D74" s="13">
        <f>D75+D76+D77+D78</f>
        <v>343744</v>
      </c>
      <c r="E74" s="13">
        <f t="shared" si="2"/>
        <v>36000</v>
      </c>
      <c r="F74" s="93">
        <f t="shared" si="3"/>
        <v>1.117</v>
      </c>
      <c r="G74" s="117"/>
      <c r="H74" s="117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" ht="47.25" customHeight="1">
      <c r="A75" s="65" t="s">
        <v>119</v>
      </c>
      <c r="B75" s="66" t="s">
        <v>144</v>
      </c>
      <c r="C75" s="15">
        <f>CENTRALA!C52+'Razem OW'!C52</f>
        <v>92669</v>
      </c>
      <c r="D75" s="15">
        <f>CENTRALA!D52+'Razem OW'!D52</f>
        <v>92674</v>
      </c>
      <c r="E75" s="15">
        <f t="shared" si="2"/>
        <v>5</v>
      </c>
      <c r="F75" s="94">
        <f t="shared" si="3"/>
        <v>1.0001</v>
      </c>
      <c r="G75" s="117"/>
      <c r="H75" s="117"/>
    </row>
    <row r="76" spans="1:8" ht="33.75" customHeight="1">
      <c r="A76" s="65" t="s">
        <v>35</v>
      </c>
      <c r="B76" s="66" t="s">
        <v>63</v>
      </c>
      <c r="C76" s="15">
        <f>CENTRALA!C53+'Razem OW'!C53</f>
        <v>200219</v>
      </c>
      <c r="D76" s="15">
        <f>CENTRALA!D53+'Razem OW'!D53</f>
        <v>236119</v>
      </c>
      <c r="E76" s="15">
        <f t="shared" si="2"/>
        <v>35900</v>
      </c>
      <c r="F76" s="94">
        <f t="shared" si="3"/>
        <v>1.1793</v>
      </c>
      <c r="G76" s="117"/>
      <c r="H76" s="117"/>
    </row>
    <row r="77" spans="1:8" ht="30" customHeight="1">
      <c r="A77" s="65" t="s">
        <v>36</v>
      </c>
      <c r="B77" s="66" t="s">
        <v>121</v>
      </c>
      <c r="C77" s="15">
        <f>CENTRALA!C54+'Razem OW'!C54</f>
        <v>0</v>
      </c>
      <c r="D77" s="15">
        <f>CENTRALA!D54+'Razem OW'!D54</f>
        <v>0</v>
      </c>
      <c r="E77" s="15" t="str">
        <f t="shared" si="2"/>
        <v>-</v>
      </c>
      <c r="F77" s="94" t="str">
        <f t="shared" si="3"/>
        <v>-</v>
      </c>
      <c r="G77" s="117"/>
      <c r="H77" s="117"/>
    </row>
    <row r="78" spans="1:8" ht="30" customHeight="1">
      <c r="A78" s="65" t="s">
        <v>120</v>
      </c>
      <c r="B78" s="70" t="s">
        <v>122</v>
      </c>
      <c r="C78" s="15">
        <f>CENTRALA!C55+'Razem OW'!C55</f>
        <v>14856</v>
      </c>
      <c r="D78" s="15">
        <f>CENTRALA!D55+'Razem OW'!D55</f>
        <v>14951</v>
      </c>
      <c r="E78" s="15">
        <f t="shared" si="2"/>
        <v>95</v>
      </c>
      <c r="F78" s="94">
        <f t="shared" si="3"/>
        <v>1.0064</v>
      </c>
      <c r="G78" s="117"/>
      <c r="H78" s="117"/>
    </row>
    <row r="79" spans="1:89" s="14" customFormat="1" ht="33" customHeight="1">
      <c r="A79" s="80" t="s">
        <v>191</v>
      </c>
      <c r="B79" s="81" t="s">
        <v>148</v>
      </c>
      <c r="C79" s="13">
        <f>C80+C81</f>
        <v>11730</v>
      </c>
      <c r="D79" s="13">
        <f>D80+D81</f>
        <v>79462</v>
      </c>
      <c r="E79" s="13">
        <f t="shared" si="2"/>
        <v>67732</v>
      </c>
      <c r="F79" s="93">
        <f t="shared" si="3"/>
        <v>6.7743</v>
      </c>
      <c r="G79" s="117"/>
      <c r="H79" s="11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" ht="30" customHeight="1">
      <c r="A80" s="65" t="s">
        <v>123</v>
      </c>
      <c r="B80" s="66" t="s">
        <v>124</v>
      </c>
      <c r="C80" s="15">
        <v>11730</v>
      </c>
      <c r="D80" s="15">
        <f>C80+67732</f>
        <v>79462</v>
      </c>
      <c r="E80" s="15">
        <f t="shared" si="2"/>
        <v>67732</v>
      </c>
      <c r="F80" s="94">
        <f t="shared" si="3"/>
        <v>6.7743</v>
      </c>
      <c r="G80" s="117"/>
      <c r="H80" s="117"/>
    </row>
    <row r="81" spans="1:8" ht="30" customHeight="1">
      <c r="A81" s="65" t="s">
        <v>125</v>
      </c>
      <c r="B81" s="70" t="s">
        <v>126</v>
      </c>
      <c r="C81" s="15">
        <v>0</v>
      </c>
      <c r="D81" s="15">
        <f>C81</f>
        <v>0</v>
      </c>
      <c r="E81" s="15" t="str">
        <f t="shared" si="2"/>
        <v>-</v>
      </c>
      <c r="F81" s="94" t="str">
        <f t="shared" si="3"/>
        <v>-</v>
      </c>
      <c r="G81" s="117"/>
      <c r="H81" s="117"/>
    </row>
    <row r="82" spans="1:89" s="14" customFormat="1" ht="39.75" customHeight="1">
      <c r="A82" s="80" t="s">
        <v>192</v>
      </c>
      <c r="B82" s="81" t="s">
        <v>154</v>
      </c>
      <c r="C82" s="13">
        <f>CENTRALA!C56+'Razem OW'!C56</f>
        <v>68351</v>
      </c>
      <c r="D82" s="13">
        <f>CENTRALA!D56+'Razem OW'!D56</f>
        <v>68516</v>
      </c>
      <c r="E82" s="13">
        <f t="shared" si="2"/>
        <v>165</v>
      </c>
      <c r="F82" s="93">
        <f t="shared" si="3"/>
        <v>1.0024</v>
      </c>
      <c r="G82" s="117"/>
      <c r="H82" s="11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:89" s="14" customFormat="1" ht="64.5" customHeight="1">
      <c r="A83" s="80" t="s">
        <v>193</v>
      </c>
      <c r="B83" s="81" t="s">
        <v>136</v>
      </c>
      <c r="C83" s="13">
        <f>C49-C50+C71-C74+C79-C82</f>
        <v>-2216364</v>
      </c>
      <c r="D83" s="13">
        <f>D49-D50+D71-D74+D79-D82</f>
        <v>-2216364</v>
      </c>
      <c r="E83" s="13" t="str">
        <f t="shared" si="2"/>
        <v>-</v>
      </c>
      <c r="F83" s="93">
        <f t="shared" si="3"/>
        <v>1</v>
      </c>
      <c r="G83" s="117"/>
      <c r="H83" s="11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s="14" customFormat="1" ht="33" customHeight="1">
      <c r="A84" s="80" t="s">
        <v>194</v>
      </c>
      <c r="B84" s="81" t="s">
        <v>146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3" t="str">
        <f t="shared" si="3"/>
        <v>-</v>
      </c>
      <c r="G84" s="117"/>
      <c r="H84" s="11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</row>
    <row r="85" spans="1:8" ht="30" customHeight="1">
      <c r="A85" s="65" t="s">
        <v>128</v>
      </c>
      <c r="B85" s="66" t="s">
        <v>129</v>
      </c>
      <c r="C85" s="15">
        <v>0</v>
      </c>
      <c r="D85" s="15">
        <f>C85</f>
        <v>0</v>
      </c>
      <c r="E85" s="15" t="str">
        <f t="shared" si="2"/>
        <v>-</v>
      </c>
      <c r="F85" s="94" t="str">
        <f t="shared" si="3"/>
        <v>-</v>
      </c>
      <c r="G85" s="117"/>
      <c r="H85" s="117"/>
    </row>
    <row r="86" spans="1:8" ht="30" customHeight="1">
      <c r="A86" s="65" t="s">
        <v>130</v>
      </c>
      <c r="B86" s="66" t="s">
        <v>131</v>
      </c>
      <c r="C86" s="15">
        <v>0</v>
      </c>
      <c r="D86" s="15">
        <f>C86</f>
        <v>0</v>
      </c>
      <c r="E86" s="15" t="str">
        <f t="shared" si="2"/>
        <v>-</v>
      </c>
      <c r="F86" s="94" t="str">
        <f t="shared" si="3"/>
        <v>-</v>
      </c>
      <c r="G86" s="117"/>
      <c r="H86" s="117"/>
    </row>
    <row r="87" spans="1:8" s="19" customFormat="1" ht="33" customHeight="1">
      <c r="A87" s="80" t="s">
        <v>195</v>
      </c>
      <c r="B87" s="82" t="s">
        <v>147</v>
      </c>
      <c r="C87" s="84">
        <f>C83+C84</f>
        <v>-2216364</v>
      </c>
      <c r="D87" s="84">
        <f>D83+D84</f>
        <v>-2216364</v>
      </c>
      <c r="E87" s="84" t="str">
        <f t="shared" si="2"/>
        <v>-</v>
      </c>
      <c r="F87" s="97">
        <f t="shared" si="3"/>
        <v>1</v>
      </c>
      <c r="G87" s="117"/>
      <c r="H87" s="117"/>
    </row>
    <row r="88" spans="1:8" s="19" customFormat="1" ht="69" customHeight="1">
      <c r="A88" s="80" t="s">
        <v>196</v>
      </c>
      <c r="B88" s="82" t="s">
        <v>132</v>
      </c>
      <c r="C88" s="84">
        <v>0</v>
      </c>
      <c r="D88" s="84">
        <v>0</v>
      </c>
      <c r="E88" s="84" t="str">
        <f t="shared" si="2"/>
        <v>-</v>
      </c>
      <c r="F88" s="97" t="str">
        <f t="shared" si="3"/>
        <v>-</v>
      </c>
      <c r="G88" s="117"/>
      <c r="H88" s="117"/>
    </row>
    <row r="89" spans="1:8" s="19" customFormat="1" ht="33" customHeight="1">
      <c r="A89" s="80" t="s">
        <v>197</v>
      </c>
      <c r="B89" s="82" t="s">
        <v>155</v>
      </c>
      <c r="C89" s="84">
        <f>C87-C88</f>
        <v>-2216364</v>
      </c>
      <c r="D89" s="84">
        <f>D87-D88</f>
        <v>-2216364</v>
      </c>
      <c r="E89" s="84" t="str">
        <f t="shared" si="2"/>
        <v>-</v>
      </c>
      <c r="F89" s="97">
        <f t="shared" si="3"/>
        <v>1</v>
      </c>
      <c r="G89" s="117"/>
      <c r="H89" s="117"/>
    </row>
    <row r="90" spans="1:8" s="19" customFormat="1" ht="33" customHeight="1">
      <c r="A90" s="63" t="s">
        <v>198</v>
      </c>
      <c r="B90" s="83" t="s">
        <v>133</v>
      </c>
      <c r="C90" s="84">
        <f>C7+C13+C20+C21+C22+C23+C71+C79</f>
        <v>55250435</v>
      </c>
      <c r="D90" s="84">
        <f>D7+D13+D20+D21+D22+D23+D71+D79</f>
        <v>57673906</v>
      </c>
      <c r="E90" s="84">
        <f t="shared" si="2"/>
        <v>2423471</v>
      </c>
      <c r="F90" s="97">
        <f t="shared" si="3"/>
        <v>1.0439</v>
      </c>
      <c r="G90" s="117"/>
      <c r="H90" s="117"/>
    </row>
    <row r="91" spans="1:8" s="19" customFormat="1" ht="33" customHeight="1">
      <c r="A91" s="80" t="s">
        <v>199</v>
      </c>
      <c r="B91" s="82" t="s">
        <v>134</v>
      </c>
      <c r="C91" s="84">
        <f>C10+C16+C25+C26+C47+C48+C50+C74+C82</f>
        <v>57466799</v>
      </c>
      <c r="D91" s="84">
        <f>D10+D16+D25+D26+D47+D48+D50+D74+D82</f>
        <v>59890270</v>
      </c>
      <c r="E91" s="84">
        <f t="shared" si="2"/>
        <v>2423471</v>
      </c>
      <c r="F91" s="97">
        <f t="shared" si="3"/>
        <v>1.0422</v>
      </c>
      <c r="G91" s="117"/>
      <c r="H91" s="117"/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77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8430214</v>
      </c>
      <c r="D7" s="16">
        <f>D8+D9+D10+D12+D13+D14+D15+D16+D17+D18+D19+D20+D21+D22+D24+D25+D26+D27</f>
        <v>8762582</v>
      </c>
      <c r="E7" s="13">
        <f>IF(C7=D7,"-",D7-C7)</f>
        <v>332368</v>
      </c>
      <c r="F7" s="86">
        <f>IF(C7=0,"-",D7/C7)</f>
        <v>1.039</v>
      </c>
      <c r="H7" s="118"/>
    </row>
    <row r="8" spans="1:8" ht="31.5" customHeight="1">
      <c r="A8" s="40" t="s">
        <v>1</v>
      </c>
      <c r="B8" s="100" t="s">
        <v>165</v>
      </c>
      <c r="C8" s="107">
        <v>978450</v>
      </c>
      <c r="D8" s="36">
        <f>C8+10000</f>
        <v>988450</v>
      </c>
      <c r="E8" s="87">
        <f aca="true" t="shared" si="0" ref="E8:E29">IF(C8=D8,"-",D8-C8)</f>
        <v>10000</v>
      </c>
      <c r="F8" s="88">
        <f aca="true" t="shared" si="1" ref="F8:F46">IF(C8=0,"-",D8/C8)</f>
        <v>1.0102</v>
      </c>
      <c r="H8" s="118"/>
    </row>
    <row r="9" spans="1:8" ht="31.5" customHeight="1">
      <c r="A9" s="40" t="s">
        <v>2</v>
      </c>
      <c r="B9" s="100" t="s">
        <v>166</v>
      </c>
      <c r="C9" s="107">
        <v>659782</v>
      </c>
      <c r="D9" s="36">
        <f>C9+10000</f>
        <v>669782</v>
      </c>
      <c r="E9" s="87">
        <f t="shared" si="0"/>
        <v>10000</v>
      </c>
      <c r="F9" s="88">
        <f t="shared" si="1"/>
        <v>1.0152</v>
      </c>
      <c r="H9" s="118"/>
    </row>
    <row r="10" spans="1:8" ht="31.5" customHeight="1">
      <c r="A10" s="40" t="s">
        <v>3</v>
      </c>
      <c r="B10" s="100" t="s">
        <v>157</v>
      </c>
      <c r="C10" s="107">
        <v>4187049</v>
      </c>
      <c r="D10" s="36">
        <f>C10+141868</f>
        <v>4328917</v>
      </c>
      <c r="E10" s="87">
        <f t="shared" si="0"/>
        <v>141868</v>
      </c>
      <c r="F10" s="88">
        <f t="shared" si="1"/>
        <v>1.0339</v>
      </c>
      <c r="H10" s="118"/>
    </row>
    <row r="11" spans="1:8" ht="31.5" customHeight="1">
      <c r="A11" s="101" t="s">
        <v>64</v>
      </c>
      <c r="B11" s="45" t="s">
        <v>65</v>
      </c>
      <c r="C11" s="107">
        <v>316701</v>
      </c>
      <c r="D11" s="36">
        <f aca="true" t="shared" si="2" ref="D11:D21">C11</f>
        <v>316701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326865</v>
      </c>
      <c r="D12" s="36">
        <f t="shared" si="2"/>
        <v>326865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340738</v>
      </c>
      <c r="D13" s="36">
        <f>C13+15000</f>
        <v>355738</v>
      </c>
      <c r="E13" s="87">
        <f t="shared" si="0"/>
        <v>15000</v>
      </c>
      <c r="F13" s="88">
        <f t="shared" si="1"/>
        <v>1.044</v>
      </c>
      <c r="H13" s="118"/>
    </row>
    <row r="14" spans="1:8" ht="31.5" customHeight="1">
      <c r="A14" s="40" t="s">
        <v>6</v>
      </c>
      <c r="B14" s="100" t="s">
        <v>176</v>
      </c>
      <c r="C14" s="107">
        <v>127339</v>
      </c>
      <c r="D14" s="36">
        <f t="shared" si="2"/>
        <v>127339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37443</v>
      </c>
      <c r="D15" s="36">
        <f>C15+500</f>
        <v>37943</v>
      </c>
      <c r="E15" s="87">
        <f>IF(C15=D15,"-",D15-C15)</f>
        <v>500</v>
      </c>
      <c r="F15" s="88">
        <f>IF(C15=0,"-",D15/C15)</f>
        <v>1.0134</v>
      </c>
      <c r="H15" s="118"/>
    </row>
    <row r="16" spans="1:8" ht="31.5" customHeight="1">
      <c r="A16" s="40" t="s">
        <v>8</v>
      </c>
      <c r="B16" s="100" t="s">
        <v>168</v>
      </c>
      <c r="C16" s="107">
        <v>230331</v>
      </c>
      <c r="D16" s="36">
        <f t="shared" si="2"/>
        <v>230331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85731</v>
      </c>
      <c r="D17" s="36">
        <f t="shared" si="2"/>
        <v>85731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5439</v>
      </c>
      <c r="D18" s="36">
        <f t="shared" si="2"/>
        <v>5439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14742</v>
      </c>
      <c r="D19" s="36">
        <f t="shared" si="2"/>
        <v>14742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211539</v>
      </c>
      <c r="D20" s="36">
        <f>C20+10000</f>
        <v>221539</v>
      </c>
      <c r="E20" s="87">
        <f t="shared" si="0"/>
        <v>10000</v>
      </c>
      <c r="F20" s="88">
        <f t="shared" si="1"/>
        <v>1.0473</v>
      </c>
      <c r="H20" s="118"/>
    </row>
    <row r="21" spans="1:8" ht="31.5" customHeight="1">
      <c r="A21" s="40" t="s">
        <v>14</v>
      </c>
      <c r="B21" s="46" t="s">
        <v>13</v>
      </c>
      <c r="C21" s="107">
        <v>73530</v>
      </c>
      <c r="D21" s="36">
        <f t="shared" si="2"/>
        <v>73530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1146144</v>
      </c>
      <c r="D22" s="36">
        <f>C22+135000</f>
        <v>1281144</v>
      </c>
      <c r="E22" s="87">
        <f t="shared" si="0"/>
        <v>135000</v>
      </c>
      <c r="F22" s="88">
        <f t="shared" si="1"/>
        <v>1.1178</v>
      </c>
      <c r="H22" s="118"/>
    </row>
    <row r="23" spans="1:8" ht="31.5" customHeight="1">
      <c r="A23" s="39" t="s">
        <v>178</v>
      </c>
      <c r="B23" s="45" t="s">
        <v>66</v>
      </c>
      <c r="C23" s="107">
        <v>4242</v>
      </c>
      <c r="D23" s="36">
        <f>C23</f>
        <v>4242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5092</v>
      </c>
      <c r="D27" s="36">
        <f>C27+10000</f>
        <v>15092</v>
      </c>
      <c r="E27" s="87">
        <f>IF(C27=D27,"-",D27-C27)</f>
        <v>10000</v>
      </c>
      <c r="F27" s="88">
        <f>IF(C27=0,"-",D27/C27)</f>
        <v>2.9639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218389</v>
      </c>
      <c r="D29" s="115">
        <v>218389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65988</v>
      </c>
      <c r="D30" s="34">
        <f>D31+D32+D33+D41+D42+D48+D49+D50+D47</f>
        <v>65988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1945</v>
      </c>
      <c r="D31" s="35">
        <f>C31</f>
        <v>1945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10985</v>
      </c>
      <c r="D32" s="35">
        <f>C32</f>
        <v>10985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397</v>
      </c>
      <c r="D33" s="35">
        <f>D34+D36+D37+D38+D39+D40</f>
        <v>397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24</v>
      </c>
      <c r="D34" s="35">
        <f>C34</f>
        <v>24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24</v>
      </c>
      <c r="D35" s="35">
        <f aca="true" t="shared" si="4" ref="D35:D47">C35</f>
        <v>24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36</v>
      </c>
      <c r="D36" s="35">
        <f t="shared" si="4"/>
        <v>36</v>
      </c>
      <c r="E36" s="87" t="str">
        <f t="shared" si="3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313</v>
      </c>
      <c r="D39" s="35">
        <f t="shared" si="4"/>
        <v>313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24</v>
      </c>
      <c r="D40" s="35">
        <f t="shared" si="4"/>
        <v>24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38918</v>
      </c>
      <c r="D41" s="35">
        <f t="shared" si="4"/>
        <v>38918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7829</v>
      </c>
      <c r="D42" s="35">
        <f>SUM(D43:D46)</f>
        <v>7829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5912</v>
      </c>
      <c r="D43" s="35">
        <f>C43</f>
        <v>5912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953</v>
      </c>
      <c r="D44" s="35">
        <f>C44</f>
        <v>953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964</v>
      </c>
      <c r="D46" s="35">
        <f>C46</f>
        <v>964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5569</v>
      </c>
      <c r="D48" s="35">
        <f>C48</f>
        <v>5569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87</v>
      </c>
      <c r="D49" s="35">
        <f>C49</f>
        <v>87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258</v>
      </c>
      <c r="D50" s="35">
        <f>C50</f>
        <v>258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37504</v>
      </c>
      <c r="D51" s="38">
        <f>SUM(D52:D55)</f>
        <v>37504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1609</v>
      </c>
      <c r="D52" s="35">
        <f>C52</f>
        <v>1609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33895</v>
      </c>
      <c r="D53" s="35">
        <f>C53</f>
        <v>33895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2000</v>
      </c>
      <c r="D55" s="35">
        <f>C55</f>
        <v>2000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10500</v>
      </c>
      <c r="D56" s="38">
        <f>C56</f>
        <v>10500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2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78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1355708</v>
      </c>
      <c r="D7" s="16">
        <f>D8+D9+D10+D12+D13+D14+D15+D16+D17+D18+D19+D20+D21+D22+D24+D25+D26+D27</f>
        <v>1416765</v>
      </c>
      <c r="E7" s="13">
        <f>IF(C7=D7,"-",D7-C7)</f>
        <v>61057</v>
      </c>
      <c r="F7" s="86">
        <f>IF(C7=0,"-",D7/C7)</f>
        <v>1.045</v>
      </c>
      <c r="H7" s="118"/>
    </row>
    <row r="8" spans="1:8" ht="31.5" customHeight="1">
      <c r="A8" s="40" t="s">
        <v>1</v>
      </c>
      <c r="B8" s="100" t="s">
        <v>165</v>
      </c>
      <c r="C8" s="107">
        <v>174500</v>
      </c>
      <c r="D8" s="36">
        <f>C8+7500</f>
        <v>182000</v>
      </c>
      <c r="E8" s="87">
        <f aca="true" t="shared" si="0" ref="E8:E29">IF(C8=D8,"-",D8-C8)</f>
        <v>7500</v>
      </c>
      <c r="F8" s="88">
        <f aca="true" t="shared" si="1" ref="F8:F46">IF(C8=0,"-",D8/C8)</f>
        <v>1.043</v>
      </c>
      <c r="H8" s="118"/>
    </row>
    <row r="9" spans="1:8" ht="31.5" customHeight="1">
      <c r="A9" s="40" t="s">
        <v>2</v>
      </c>
      <c r="B9" s="100" t="s">
        <v>166</v>
      </c>
      <c r="C9" s="107">
        <v>101187</v>
      </c>
      <c r="D9" s="36">
        <f>C9+1600</f>
        <v>102787</v>
      </c>
      <c r="E9" s="87">
        <f t="shared" si="0"/>
        <v>1600</v>
      </c>
      <c r="F9" s="88">
        <f t="shared" si="1"/>
        <v>1.0158</v>
      </c>
      <c r="H9" s="118"/>
    </row>
    <row r="10" spans="1:8" ht="31.5" customHeight="1">
      <c r="A10" s="40" t="s">
        <v>3</v>
      </c>
      <c r="B10" s="100" t="s">
        <v>157</v>
      </c>
      <c r="C10" s="107">
        <v>646442</v>
      </c>
      <c r="D10" s="36">
        <f>C10+28000</f>
        <v>674442</v>
      </c>
      <c r="E10" s="87">
        <f t="shared" si="0"/>
        <v>28000</v>
      </c>
      <c r="F10" s="88">
        <f t="shared" si="1"/>
        <v>1.0433</v>
      </c>
      <c r="H10" s="118"/>
    </row>
    <row r="11" spans="1:8" ht="31.5" customHeight="1">
      <c r="A11" s="101" t="s">
        <v>64</v>
      </c>
      <c r="B11" s="45" t="s">
        <v>65</v>
      </c>
      <c r="C11" s="107">
        <v>35115</v>
      </c>
      <c r="D11" s="36">
        <f>C11</f>
        <v>35115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50149</v>
      </c>
      <c r="D12" s="36">
        <f>C12+1400</f>
        <v>51549</v>
      </c>
      <c r="E12" s="87">
        <f t="shared" si="0"/>
        <v>1400</v>
      </c>
      <c r="F12" s="88">
        <f t="shared" si="1"/>
        <v>1.0279</v>
      </c>
      <c r="H12" s="118"/>
    </row>
    <row r="13" spans="1:8" ht="31.5" customHeight="1">
      <c r="A13" s="40" t="s">
        <v>5</v>
      </c>
      <c r="B13" s="100" t="s">
        <v>167</v>
      </c>
      <c r="C13" s="107">
        <v>46287</v>
      </c>
      <c r="D13" s="36">
        <f>C13+568</f>
        <v>46855</v>
      </c>
      <c r="E13" s="87">
        <f t="shared" si="0"/>
        <v>568</v>
      </c>
      <c r="F13" s="88">
        <f t="shared" si="1"/>
        <v>1.0123</v>
      </c>
      <c r="H13" s="118"/>
    </row>
    <row r="14" spans="1:8" ht="31.5" customHeight="1">
      <c r="A14" s="40" t="s">
        <v>6</v>
      </c>
      <c r="B14" s="100" t="s">
        <v>176</v>
      </c>
      <c r="C14" s="107">
        <v>39777</v>
      </c>
      <c r="D14" s="36">
        <f>C14+729</f>
        <v>40506</v>
      </c>
      <c r="E14" s="87">
        <f t="shared" si="0"/>
        <v>729</v>
      </c>
      <c r="F14" s="88">
        <f t="shared" si="1"/>
        <v>1.0183</v>
      </c>
      <c r="H14" s="118"/>
    </row>
    <row r="15" spans="1:8" ht="31.5" customHeight="1">
      <c r="A15" s="40" t="s">
        <v>7</v>
      </c>
      <c r="B15" s="100" t="s">
        <v>175</v>
      </c>
      <c r="C15" s="107">
        <v>7892</v>
      </c>
      <c r="D15" s="36">
        <f>C15+100</f>
        <v>7992</v>
      </c>
      <c r="E15" s="87">
        <f>IF(C15=D15,"-",D15-C15)</f>
        <v>100</v>
      </c>
      <c r="F15" s="88">
        <f>IF(C15=0,"-",D15/C15)</f>
        <v>1.0127</v>
      </c>
      <c r="H15" s="118"/>
    </row>
    <row r="16" spans="1:8" ht="31.5" customHeight="1">
      <c r="A16" s="40" t="s">
        <v>8</v>
      </c>
      <c r="B16" s="100" t="s">
        <v>168</v>
      </c>
      <c r="C16" s="107">
        <v>44968</v>
      </c>
      <c r="D16" s="36">
        <f>C16+100</f>
        <v>45068</v>
      </c>
      <c r="E16" s="87">
        <f t="shared" si="0"/>
        <v>100</v>
      </c>
      <c r="F16" s="88">
        <f t="shared" si="1"/>
        <v>1.0022</v>
      </c>
      <c r="H16" s="118"/>
    </row>
    <row r="17" spans="1:8" ht="31.5" customHeight="1">
      <c r="A17" s="40" t="s">
        <v>9</v>
      </c>
      <c r="B17" s="100" t="s">
        <v>169</v>
      </c>
      <c r="C17" s="107">
        <v>12500</v>
      </c>
      <c r="D17" s="36">
        <f>C17</f>
        <v>12500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1260</v>
      </c>
      <c r="D18" s="36">
        <f>C18</f>
        <v>1260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3431</v>
      </c>
      <c r="D19" s="36">
        <f>C19+400</f>
        <v>3831</v>
      </c>
      <c r="E19" s="87">
        <f t="shared" si="0"/>
        <v>400</v>
      </c>
      <c r="F19" s="88">
        <f t="shared" si="1"/>
        <v>1.1166</v>
      </c>
      <c r="H19" s="118"/>
    </row>
    <row r="20" spans="1:8" ht="31.5" customHeight="1">
      <c r="A20" s="40" t="s">
        <v>12</v>
      </c>
      <c r="B20" s="100" t="s">
        <v>171</v>
      </c>
      <c r="C20" s="107">
        <v>34001</v>
      </c>
      <c r="D20" s="36">
        <f>C20+310</f>
        <v>34311</v>
      </c>
      <c r="E20" s="87">
        <f t="shared" si="0"/>
        <v>310</v>
      </c>
      <c r="F20" s="88">
        <f t="shared" si="1"/>
        <v>1.0091</v>
      </c>
      <c r="H20" s="118"/>
    </row>
    <row r="21" spans="1:8" ht="31.5" customHeight="1">
      <c r="A21" s="40" t="s">
        <v>14</v>
      </c>
      <c r="B21" s="46" t="s">
        <v>13</v>
      </c>
      <c r="C21" s="107">
        <v>17500</v>
      </c>
      <c r="D21" s="36">
        <f>C21</f>
        <v>17500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175006</v>
      </c>
      <c r="D22" s="36">
        <f>C22+20000</f>
        <v>195006</v>
      </c>
      <c r="E22" s="87">
        <f t="shared" si="0"/>
        <v>20000</v>
      </c>
      <c r="F22" s="88">
        <f t="shared" si="1"/>
        <v>1.1143</v>
      </c>
      <c r="H22" s="118"/>
    </row>
    <row r="23" spans="1:8" ht="31.5" customHeight="1">
      <c r="A23" s="39" t="s">
        <v>178</v>
      </c>
      <c r="B23" s="45" t="s">
        <v>66</v>
      </c>
      <c r="C23" s="107">
        <v>650</v>
      </c>
      <c r="D23" s="36">
        <f>C23</f>
        <v>650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808</v>
      </c>
      <c r="D27" s="36">
        <f>C27+350</f>
        <v>1158</v>
      </c>
      <c r="E27" s="87">
        <f>IF(C27=D27,"-",D27-C27)</f>
        <v>350</v>
      </c>
      <c r="F27" s="88">
        <f>IF(C27=0,"-",D27/C27)</f>
        <v>1.4332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48800</v>
      </c>
      <c r="D29" s="115">
        <v>48800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15191</v>
      </c>
      <c r="D30" s="34">
        <f>D31+D32+D33+D41+D42+D48+D49+D50+D47</f>
        <v>15191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739</v>
      </c>
      <c r="D31" s="35">
        <f>C31</f>
        <v>739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1370</v>
      </c>
      <c r="D32" s="35">
        <f>C32</f>
        <v>1370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102</v>
      </c>
      <c r="D33" s="35">
        <f>D34+D36+D37+D38+D39+D40</f>
        <v>102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0</v>
      </c>
      <c r="D34" s="35">
        <f>C34</f>
        <v>0</v>
      </c>
      <c r="E34" s="87" t="str">
        <f t="shared" si="2"/>
        <v>-</v>
      </c>
      <c r="F34" s="88" t="str">
        <f t="shared" si="1"/>
        <v>-</v>
      </c>
      <c r="H34" s="118"/>
    </row>
    <row r="35" spans="1:8" ht="28.5" customHeight="1">
      <c r="A35" s="53" t="s">
        <v>46</v>
      </c>
      <c r="B35" s="55" t="s">
        <v>39</v>
      </c>
      <c r="C35" s="92">
        <v>0</v>
      </c>
      <c r="D35" s="35">
        <f aca="true" t="shared" si="3" ref="D35:D49">C35</f>
        <v>0</v>
      </c>
      <c r="E35" s="87" t="str">
        <f t="shared" si="2"/>
        <v>-</v>
      </c>
      <c r="F35" s="88" t="str">
        <f t="shared" si="1"/>
        <v>-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100</v>
      </c>
      <c r="D39" s="35">
        <f t="shared" si="3"/>
        <v>100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</v>
      </c>
      <c r="D40" s="35">
        <f t="shared" si="3"/>
        <v>2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8128</v>
      </c>
      <c r="D41" s="35">
        <f t="shared" si="3"/>
        <v>8128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1641</v>
      </c>
      <c r="D42" s="35">
        <f t="shared" si="3"/>
        <v>1641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1235</v>
      </c>
      <c r="D43" s="35">
        <f t="shared" si="3"/>
        <v>1235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199</v>
      </c>
      <c r="D44" s="35">
        <f t="shared" si="3"/>
        <v>199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207</v>
      </c>
      <c r="D46" s="35">
        <f t="shared" si="3"/>
        <v>207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2787</v>
      </c>
      <c r="D48" s="35">
        <f t="shared" si="3"/>
        <v>2787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240</v>
      </c>
      <c r="D49" s="35">
        <f t="shared" si="3"/>
        <v>240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184</v>
      </c>
      <c r="D50" s="35">
        <f>C50</f>
        <v>184</v>
      </c>
      <c r="E50" s="87" t="str">
        <f t="shared" si="2"/>
        <v>-</v>
      </c>
      <c r="F50" s="88">
        <f t="shared" si="4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6732</v>
      </c>
      <c r="D51" s="38">
        <f>SUM(D52:D55)</f>
        <v>6732</v>
      </c>
      <c r="E51" s="13" t="str">
        <f t="shared" si="2"/>
        <v>-</v>
      </c>
      <c r="F51" s="91">
        <f t="shared" si="4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1632</v>
      </c>
      <c r="D52" s="35">
        <f>C52</f>
        <v>1632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5000</v>
      </c>
      <c r="D53" s="35">
        <f>C53</f>
        <v>5000</v>
      </c>
      <c r="E53" s="92" t="str">
        <f>IF(C53=D53,"-",D53-C53)</f>
        <v>-</v>
      </c>
      <c r="F53" s="98">
        <f t="shared" si="4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</v>
      </c>
      <c r="D55" s="35">
        <f>C55</f>
        <v>100</v>
      </c>
      <c r="E55" s="92" t="str">
        <f>IF(C55=D55,"-",D55-C55)</f>
        <v>-</v>
      </c>
      <c r="F55" s="98">
        <f t="shared" si="4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0</v>
      </c>
      <c r="D56" s="38">
        <f>C56</f>
        <v>0</v>
      </c>
      <c r="E56" s="13" t="str">
        <f>IF(C56=D56,"-",D56-C56)</f>
        <v>-</v>
      </c>
      <c r="F56" s="91" t="str">
        <f>IF(C56=0,"-",D56/C56)</f>
        <v>-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79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2614404</v>
      </c>
      <c r="D7" s="16">
        <f>D8+D9+D10+D12+D13+D14+D15+D16+D17+D18+D19+D20+D21+D22+D24+D25+D26+D27</f>
        <v>2741571</v>
      </c>
      <c r="E7" s="13">
        <f>IF(C7=D7,"-",D7-C7)</f>
        <v>127167</v>
      </c>
      <c r="F7" s="86">
        <f>IF(C7=0,"-",D7/C7)</f>
        <v>1.049</v>
      </c>
      <c r="H7" s="118"/>
    </row>
    <row r="8" spans="1:8" ht="31.5" customHeight="1">
      <c r="A8" s="40" t="s">
        <v>1</v>
      </c>
      <c r="B8" s="100" t="s">
        <v>165</v>
      </c>
      <c r="C8" s="107">
        <v>392646</v>
      </c>
      <c r="D8" s="36">
        <f>C8</f>
        <v>392646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179257</v>
      </c>
      <c r="D9" s="36">
        <f>C9+5000</f>
        <v>184257</v>
      </c>
      <c r="E9" s="87">
        <f t="shared" si="0"/>
        <v>5000</v>
      </c>
      <c r="F9" s="88">
        <f t="shared" si="1"/>
        <v>1.0279</v>
      </c>
      <c r="H9" s="118"/>
    </row>
    <row r="10" spans="1:8" ht="31.5" customHeight="1">
      <c r="A10" s="40" t="s">
        <v>3</v>
      </c>
      <c r="B10" s="100" t="s">
        <v>157</v>
      </c>
      <c r="C10" s="107">
        <v>1237635</v>
      </c>
      <c r="D10" s="36">
        <f>C10+17761</f>
        <v>1255396</v>
      </c>
      <c r="E10" s="87">
        <f t="shared" si="0"/>
        <v>17761</v>
      </c>
      <c r="F10" s="88">
        <f t="shared" si="1"/>
        <v>1.0144</v>
      </c>
      <c r="H10" s="118"/>
    </row>
    <row r="11" spans="1:8" ht="31.5" customHeight="1">
      <c r="A11" s="101" t="s">
        <v>64</v>
      </c>
      <c r="B11" s="45" t="s">
        <v>65</v>
      </c>
      <c r="C11" s="107">
        <v>70214</v>
      </c>
      <c r="D11" s="36">
        <f>C11+1500</f>
        <v>71714</v>
      </c>
      <c r="E11" s="87">
        <f t="shared" si="0"/>
        <v>1500</v>
      </c>
      <c r="F11" s="88">
        <f t="shared" si="1"/>
        <v>1.0214</v>
      </c>
      <c r="H11" s="118"/>
    </row>
    <row r="12" spans="1:8" ht="31.5" customHeight="1">
      <c r="A12" s="40" t="s">
        <v>4</v>
      </c>
      <c r="B12" s="100" t="s">
        <v>172</v>
      </c>
      <c r="C12" s="107">
        <v>84598</v>
      </c>
      <c r="D12" s="36">
        <f>C12+1000</f>
        <v>85598</v>
      </c>
      <c r="E12" s="87">
        <f t="shared" si="0"/>
        <v>1000</v>
      </c>
      <c r="F12" s="88">
        <f t="shared" si="1"/>
        <v>1.0118</v>
      </c>
      <c r="H12" s="118"/>
    </row>
    <row r="13" spans="1:8" ht="31.5" customHeight="1">
      <c r="A13" s="40" t="s">
        <v>5</v>
      </c>
      <c r="B13" s="100" t="s">
        <v>167</v>
      </c>
      <c r="C13" s="107">
        <v>103554</v>
      </c>
      <c r="D13" s="36">
        <f>C13+500</f>
        <v>104054</v>
      </c>
      <c r="E13" s="87">
        <f t="shared" si="0"/>
        <v>500</v>
      </c>
      <c r="F13" s="88">
        <f t="shared" si="1"/>
        <v>1.0048</v>
      </c>
      <c r="H13" s="118"/>
    </row>
    <row r="14" spans="1:8" ht="31.5" customHeight="1">
      <c r="A14" s="40" t="s">
        <v>6</v>
      </c>
      <c r="B14" s="100" t="s">
        <v>176</v>
      </c>
      <c r="C14" s="107">
        <v>75732</v>
      </c>
      <c r="D14" s="36">
        <f>C14</f>
        <v>75732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12895</v>
      </c>
      <c r="D15" s="36">
        <f>C15+300</f>
        <v>13195</v>
      </c>
      <c r="E15" s="87">
        <f>IF(C15=D15,"-",D15-C15)</f>
        <v>300</v>
      </c>
      <c r="F15" s="88">
        <f>IF(C15=0,"-",D15/C15)</f>
        <v>1.0233</v>
      </c>
      <c r="H15" s="118"/>
    </row>
    <row r="16" spans="1:8" ht="31.5" customHeight="1">
      <c r="A16" s="40" t="s">
        <v>8</v>
      </c>
      <c r="B16" s="100" t="s">
        <v>168</v>
      </c>
      <c r="C16" s="107">
        <v>85647</v>
      </c>
      <c r="D16" s="36">
        <f>C16</f>
        <v>85647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24542</v>
      </c>
      <c r="D17" s="36">
        <f>C17</f>
        <v>24542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2396</v>
      </c>
      <c r="D18" s="36">
        <f>C18</f>
        <v>2396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3885</v>
      </c>
      <c r="D19" s="36">
        <f>C19+1388</f>
        <v>5273</v>
      </c>
      <c r="E19" s="87">
        <f t="shared" si="0"/>
        <v>1388</v>
      </c>
      <c r="F19" s="88">
        <f t="shared" si="1"/>
        <v>1.3573</v>
      </c>
      <c r="H19" s="118"/>
    </row>
    <row r="20" spans="1:8" ht="31.5" customHeight="1">
      <c r="A20" s="40" t="s">
        <v>12</v>
      </c>
      <c r="B20" s="100" t="s">
        <v>171</v>
      </c>
      <c r="C20" s="107">
        <v>63037</v>
      </c>
      <c r="D20" s="36">
        <f>C20+5500</f>
        <v>68537</v>
      </c>
      <c r="E20" s="87">
        <f t="shared" si="0"/>
        <v>5500</v>
      </c>
      <c r="F20" s="88">
        <f t="shared" si="1"/>
        <v>1.0873</v>
      </c>
      <c r="H20" s="118"/>
    </row>
    <row r="21" spans="1:8" ht="31.5" customHeight="1">
      <c r="A21" s="40" t="s">
        <v>14</v>
      </c>
      <c r="B21" s="46" t="s">
        <v>13</v>
      </c>
      <c r="C21" s="107">
        <v>29411</v>
      </c>
      <c r="D21" s="36">
        <f>C21+500</f>
        <v>29911</v>
      </c>
      <c r="E21" s="87">
        <f t="shared" si="0"/>
        <v>500</v>
      </c>
      <c r="F21" s="88">
        <f t="shared" si="1"/>
        <v>1.017</v>
      </c>
      <c r="H21" s="118"/>
    </row>
    <row r="22" spans="1:8" ht="31.5" customHeight="1">
      <c r="A22" s="41" t="s">
        <v>15</v>
      </c>
      <c r="B22" s="100" t="s">
        <v>173</v>
      </c>
      <c r="C22" s="107">
        <v>318797</v>
      </c>
      <c r="D22" s="36">
        <f>C22+75018</f>
        <v>393815</v>
      </c>
      <c r="E22" s="87">
        <f t="shared" si="0"/>
        <v>75018</v>
      </c>
      <c r="F22" s="88">
        <f t="shared" si="1"/>
        <v>1.2353</v>
      </c>
      <c r="H22" s="118"/>
    </row>
    <row r="23" spans="1:8" ht="31.5" customHeight="1">
      <c r="A23" s="39" t="s">
        <v>178</v>
      </c>
      <c r="B23" s="45" t="s">
        <v>66</v>
      </c>
      <c r="C23" s="107">
        <v>694</v>
      </c>
      <c r="D23" s="36">
        <f>C23+1000</f>
        <v>1694</v>
      </c>
      <c r="E23" s="87">
        <f t="shared" si="0"/>
        <v>1000</v>
      </c>
      <c r="F23" s="88">
        <f t="shared" si="1"/>
        <v>2.4409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48" t="s">
        <v>142</v>
      </c>
      <c r="C27" s="107">
        <v>372</v>
      </c>
      <c r="D27" s="36">
        <f>C27+20200</f>
        <v>20572</v>
      </c>
      <c r="E27" s="87">
        <f>IF(C27=D27,"-",D27-C27)</f>
        <v>20200</v>
      </c>
      <c r="F27" s="88">
        <f>IF(C27=0,"-",D27/C27)</f>
        <v>55.3011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99850</v>
      </c>
      <c r="D29" s="115">
        <v>99850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22610</v>
      </c>
      <c r="D30" s="34">
        <f>D31+D32+D33+D41+D42+D48+D49+D50+D47</f>
        <v>22610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861</v>
      </c>
      <c r="D31" s="35">
        <f>C31</f>
        <v>861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2218</v>
      </c>
      <c r="D32" s="35">
        <f>C32</f>
        <v>2218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103</v>
      </c>
      <c r="D33" s="35">
        <f>D34+D36+D37+D38+D39+D40</f>
        <v>103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22</v>
      </c>
      <c r="D34" s="35">
        <f>C34</f>
        <v>22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22</v>
      </c>
      <c r="D35" s="35">
        <f aca="true" t="shared" si="3" ref="D35:D47">C35</f>
        <v>22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52</v>
      </c>
      <c r="D39" s="35">
        <f t="shared" si="3"/>
        <v>52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29</v>
      </c>
      <c r="D40" s="35">
        <f t="shared" si="3"/>
        <v>29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12812</v>
      </c>
      <c r="D41" s="35">
        <f t="shared" si="3"/>
        <v>12812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2588</v>
      </c>
      <c r="D42" s="35">
        <f>SUM(D43:D46)</f>
        <v>2588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1946</v>
      </c>
      <c r="D43" s="35">
        <f>C43</f>
        <v>1946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314</v>
      </c>
      <c r="D44" s="35">
        <f>C44</f>
        <v>314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328</v>
      </c>
      <c r="D46" s="35">
        <f>C46</f>
        <v>328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3335</v>
      </c>
      <c r="D48" s="35">
        <f>C48</f>
        <v>3335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480</v>
      </c>
      <c r="D49" s="35">
        <f>C49</f>
        <v>480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213</v>
      </c>
      <c r="D50" s="35">
        <f>C50</f>
        <v>213</v>
      </c>
      <c r="E50" s="87" t="str">
        <f t="shared" si="2"/>
        <v>-</v>
      </c>
      <c r="F50" s="88">
        <f t="shared" si="4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10554</v>
      </c>
      <c r="D51" s="38">
        <f>SUM(D52:D55)</f>
        <v>10554</v>
      </c>
      <c r="E51" s="13" t="str">
        <f t="shared" si="2"/>
        <v>-</v>
      </c>
      <c r="F51" s="91">
        <f t="shared" si="4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247</v>
      </c>
      <c r="D52" s="35">
        <f>C52</f>
        <v>247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10057</v>
      </c>
      <c r="D53" s="35">
        <f>C53</f>
        <v>10057</v>
      </c>
      <c r="E53" s="92" t="str">
        <f>IF(C53=D53,"-",D53-C53)</f>
        <v>-</v>
      </c>
      <c r="F53" s="98">
        <f t="shared" si="4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250</v>
      </c>
      <c r="D55" s="35">
        <f>C55</f>
        <v>250</v>
      </c>
      <c r="E55" s="92" t="str">
        <f>IF(C55=D55,"-",D55-C55)</f>
        <v>-</v>
      </c>
      <c r="F55" s="98">
        <f t="shared" si="4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1888</v>
      </c>
      <c r="D56" s="38">
        <f>C56</f>
        <v>1888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80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1621989</v>
      </c>
      <c r="D7" s="16">
        <f>D8+D9+D10+D12+D13+D14+D15+D16+D17+D18+D19+D20+D21+D22+D24+D25+D26+D27</f>
        <v>1696072</v>
      </c>
      <c r="E7" s="13">
        <f>IF(C7=D7,"-",D7-C7)</f>
        <v>74083</v>
      </c>
      <c r="F7" s="86">
        <f>IF(C7=0,"-",D7/C7)</f>
        <v>1.046</v>
      </c>
      <c r="H7" s="118"/>
    </row>
    <row r="8" spans="1:8" ht="31.5" customHeight="1">
      <c r="A8" s="40" t="s">
        <v>1</v>
      </c>
      <c r="B8" s="100" t="s">
        <v>165</v>
      </c>
      <c r="C8" s="107">
        <v>228893</v>
      </c>
      <c r="D8" s="36">
        <f>C8</f>
        <v>228893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134743</v>
      </c>
      <c r="D9" s="36">
        <f>C9+2257</f>
        <v>137000</v>
      </c>
      <c r="E9" s="87">
        <f t="shared" si="0"/>
        <v>2257</v>
      </c>
      <c r="F9" s="88">
        <f t="shared" si="1"/>
        <v>1.0168</v>
      </c>
      <c r="H9" s="118"/>
    </row>
    <row r="10" spans="1:8" ht="31.5" customHeight="1">
      <c r="A10" s="40" t="s">
        <v>3</v>
      </c>
      <c r="B10" s="100" t="s">
        <v>157</v>
      </c>
      <c r="C10" s="107">
        <v>800252</v>
      </c>
      <c r="D10" s="36">
        <f>C10+7953</f>
        <v>808205</v>
      </c>
      <c r="E10" s="87">
        <f t="shared" si="0"/>
        <v>7953</v>
      </c>
      <c r="F10" s="88">
        <f t="shared" si="1"/>
        <v>1.0099</v>
      </c>
      <c r="H10" s="118"/>
    </row>
    <row r="11" spans="1:8" ht="31.5" customHeight="1">
      <c r="A11" s="101" t="s">
        <v>64</v>
      </c>
      <c r="B11" s="45" t="s">
        <v>65</v>
      </c>
      <c r="C11" s="107">
        <v>41896</v>
      </c>
      <c r="D11" s="36">
        <f>C11+3104</f>
        <v>45000</v>
      </c>
      <c r="E11" s="87">
        <f t="shared" si="0"/>
        <v>3104</v>
      </c>
      <c r="F11" s="88">
        <f t="shared" si="1"/>
        <v>1.0741</v>
      </c>
      <c r="H11" s="118"/>
    </row>
    <row r="12" spans="1:8" ht="31.5" customHeight="1">
      <c r="A12" s="40" t="s">
        <v>4</v>
      </c>
      <c r="B12" s="100" t="s">
        <v>172</v>
      </c>
      <c r="C12" s="107">
        <v>66499</v>
      </c>
      <c r="D12" s="36">
        <f aca="true" t="shared" si="2" ref="D12:D26">C12</f>
        <v>66499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39179</v>
      </c>
      <c r="D13" s="36">
        <f>C13+901</f>
        <v>40080</v>
      </c>
      <c r="E13" s="87">
        <f t="shared" si="0"/>
        <v>901</v>
      </c>
      <c r="F13" s="88">
        <f t="shared" si="1"/>
        <v>1.023</v>
      </c>
      <c r="H13" s="118"/>
    </row>
    <row r="14" spans="1:8" ht="31.5" customHeight="1">
      <c r="A14" s="40" t="s">
        <v>6</v>
      </c>
      <c r="B14" s="100" t="s">
        <v>176</v>
      </c>
      <c r="C14" s="107">
        <v>22307</v>
      </c>
      <c r="D14" s="36">
        <f t="shared" si="2"/>
        <v>22307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7552</v>
      </c>
      <c r="D15" s="36">
        <f t="shared" si="2"/>
        <v>7552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61686</v>
      </c>
      <c r="D16" s="36">
        <f t="shared" si="2"/>
        <v>61686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18700</v>
      </c>
      <c r="D17" s="36">
        <f t="shared" si="2"/>
        <v>18700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1200</v>
      </c>
      <c r="D18" s="36">
        <f t="shared" si="2"/>
        <v>1200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4227</v>
      </c>
      <c r="D19" s="36">
        <f>C19+273</f>
        <v>4500</v>
      </c>
      <c r="E19" s="87">
        <f t="shared" si="0"/>
        <v>273</v>
      </c>
      <c r="F19" s="88">
        <f t="shared" si="1"/>
        <v>1.0646</v>
      </c>
      <c r="H19" s="118"/>
    </row>
    <row r="20" spans="1:8" ht="31.5" customHeight="1">
      <c r="A20" s="40" t="s">
        <v>12</v>
      </c>
      <c r="B20" s="100" t="s">
        <v>171</v>
      </c>
      <c r="C20" s="107">
        <v>32559</v>
      </c>
      <c r="D20" s="36">
        <f>C20+441</f>
        <v>33000</v>
      </c>
      <c r="E20" s="87">
        <f t="shared" si="0"/>
        <v>441</v>
      </c>
      <c r="F20" s="88">
        <f t="shared" si="1"/>
        <v>1.0135</v>
      </c>
      <c r="H20" s="118"/>
    </row>
    <row r="21" spans="1:8" ht="31.5" customHeight="1">
      <c r="A21" s="40" t="s">
        <v>14</v>
      </c>
      <c r="B21" s="46" t="s">
        <v>13</v>
      </c>
      <c r="C21" s="107">
        <v>17650</v>
      </c>
      <c r="D21" s="36">
        <f t="shared" si="2"/>
        <v>17650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186250</v>
      </c>
      <c r="D22" s="36">
        <f>C22+55550</f>
        <v>241800</v>
      </c>
      <c r="E22" s="87">
        <f t="shared" si="0"/>
        <v>55550</v>
      </c>
      <c r="F22" s="88">
        <f t="shared" si="1"/>
        <v>1.2983</v>
      </c>
      <c r="H22" s="118"/>
    </row>
    <row r="23" spans="1:8" ht="31.5" customHeight="1">
      <c r="A23" s="39" t="s">
        <v>178</v>
      </c>
      <c r="B23" s="45" t="s">
        <v>66</v>
      </c>
      <c r="C23" s="107">
        <v>1400</v>
      </c>
      <c r="D23" s="36">
        <f>C23+600</f>
        <v>2000</v>
      </c>
      <c r="E23" s="87">
        <f t="shared" si="0"/>
        <v>600</v>
      </c>
      <c r="F23" s="88">
        <f t="shared" si="1"/>
        <v>1.4286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292</v>
      </c>
      <c r="D27" s="36">
        <f>C27+6708</f>
        <v>7000</v>
      </c>
      <c r="E27" s="87">
        <f>IF(C27=D27,"-",D27-C27)</f>
        <v>6708</v>
      </c>
      <c r="F27" s="88">
        <f>IF(C27=0,"-",D27/C27)</f>
        <v>23.9726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63855</v>
      </c>
      <c r="D29" s="115">
        <v>63855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14259</v>
      </c>
      <c r="D30" s="34">
        <f>D31+D32+D33+D41+D42+D48+D49+D50+D47</f>
        <v>14259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558</v>
      </c>
      <c r="D31" s="35">
        <f>C31</f>
        <v>558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913</v>
      </c>
      <c r="D32" s="35">
        <f>C32</f>
        <v>913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186</v>
      </c>
      <c r="D33" s="35">
        <f>D34+D36+D37+D38+D39+D40</f>
        <v>186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15</v>
      </c>
      <c r="D34" s="35">
        <f>C34</f>
        <v>15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15</v>
      </c>
      <c r="D35" s="35">
        <f aca="true" t="shared" si="4" ref="D35:D47">C35</f>
        <v>15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32</v>
      </c>
      <c r="D36" s="35">
        <f>C36</f>
        <v>32</v>
      </c>
      <c r="E36" s="87" t="str">
        <f t="shared" si="3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134</v>
      </c>
      <c r="D39" s="35">
        <f>C39</f>
        <v>134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5</v>
      </c>
      <c r="D40" s="35">
        <f t="shared" si="4"/>
        <v>5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9054</v>
      </c>
      <c r="D41" s="35">
        <f t="shared" si="4"/>
        <v>9054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1833</v>
      </c>
      <c r="D42" s="35">
        <f>SUM(D43:D46)</f>
        <v>1833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1375</v>
      </c>
      <c r="D43" s="35">
        <f>C43</f>
        <v>1375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222</v>
      </c>
      <c r="D44" s="35">
        <f>C44</f>
        <v>222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236</v>
      </c>
      <c r="D46" s="35">
        <f>C46</f>
        <v>236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1266</v>
      </c>
      <c r="D48" s="35">
        <f>C48</f>
        <v>1266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227</v>
      </c>
      <c r="D49" s="35">
        <f>C49</f>
        <v>227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222</v>
      </c>
      <c r="D50" s="35">
        <f>C50</f>
        <v>222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7121</v>
      </c>
      <c r="D51" s="38">
        <f>SUM(D52:D55)</f>
        <v>7121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175</v>
      </c>
      <c r="D52" s="35">
        <f>C52</f>
        <v>175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6496</v>
      </c>
      <c r="D53" s="35">
        <f>C53</f>
        <v>6496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450</v>
      </c>
      <c r="D55" s="35">
        <f>C55</f>
        <v>450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48</v>
      </c>
      <c r="D56" s="38">
        <f>C56</f>
        <v>48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4"/>
  <sheetViews>
    <sheetView showGridLines="0" zoomScale="49" zoomScaleNormal="49" zoomScaleSheetLayoutView="55" zoomScalePageLayoutView="0" workbookViewId="0" topLeftCell="A1">
      <pane xSplit="2" ySplit="7" topLeftCell="C23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81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137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</row>
    <row r="5" spans="1:137" s="6" customFormat="1" ht="33" customHeight="1">
      <c r="A5" s="157"/>
      <c r="B5" s="157"/>
      <c r="C5" s="154"/>
      <c r="D5" s="151"/>
      <c r="E5" s="152"/>
      <c r="F5" s="15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</row>
    <row r="6" spans="1:137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</row>
    <row r="7" spans="1:137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3197563</v>
      </c>
      <c r="D7" s="16">
        <f>D8+D9+D10+D12+D13+D14+D15+D16+D17+D18+D19+D20+D21+D22+D24+D25+D26+D27</f>
        <v>3332683</v>
      </c>
      <c r="E7" s="13">
        <f>IF(C7=D7,"-",D7-C7)</f>
        <v>135120</v>
      </c>
      <c r="F7" s="86">
        <f>IF(C7=0,"-",D7/C7)</f>
        <v>1.042</v>
      </c>
      <c r="G7" s="2"/>
      <c r="H7" s="1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</row>
    <row r="8" spans="1:8" ht="31.5" customHeight="1">
      <c r="A8" s="40" t="s">
        <v>1</v>
      </c>
      <c r="B8" s="100" t="s">
        <v>165</v>
      </c>
      <c r="C8" s="107">
        <v>412783</v>
      </c>
      <c r="D8" s="36">
        <f>C8</f>
        <v>412783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274057</v>
      </c>
      <c r="D9" s="36">
        <f>C9+7000</f>
        <v>281057</v>
      </c>
      <c r="E9" s="87">
        <f t="shared" si="0"/>
        <v>7000</v>
      </c>
      <c r="F9" s="88">
        <f t="shared" si="1"/>
        <v>1.0255</v>
      </c>
      <c r="H9" s="118"/>
    </row>
    <row r="10" spans="1:8" ht="31.5" customHeight="1">
      <c r="A10" s="40" t="s">
        <v>3</v>
      </c>
      <c r="B10" s="100" t="s">
        <v>157</v>
      </c>
      <c r="C10" s="107">
        <v>1526847</v>
      </c>
      <c r="D10" s="36">
        <f>C10+53000</f>
        <v>1579847</v>
      </c>
      <c r="E10" s="87">
        <f t="shared" si="0"/>
        <v>53000</v>
      </c>
      <c r="F10" s="88">
        <f t="shared" si="1"/>
        <v>1.0347</v>
      </c>
      <c r="H10" s="118"/>
    </row>
    <row r="11" spans="1:8" ht="31.5" customHeight="1">
      <c r="A11" s="101" t="s">
        <v>64</v>
      </c>
      <c r="B11" s="45" t="s">
        <v>65</v>
      </c>
      <c r="C11" s="107">
        <v>74199</v>
      </c>
      <c r="D11" s="36">
        <f>C11+8000</f>
        <v>82199</v>
      </c>
      <c r="E11" s="87">
        <f t="shared" si="0"/>
        <v>8000</v>
      </c>
      <c r="F11" s="88">
        <f t="shared" si="1"/>
        <v>1.1078</v>
      </c>
      <c r="H11" s="118"/>
    </row>
    <row r="12" spans="1:8" ht="31.5" customHeight="1">
      <c r="A12" s="40" t="s">
        <v>4</v>
      </c>
      <c r="B12" s="100" t="s">
        <v>172</v>
      </c>
      <c r="C12" s="107">
        <v>124222</v>
      </c>
      <c r="D12" s="36">
        <f>C12</f>
        <v>124222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88168</v>
      </c>
      <c r="D13" s="36">
        <f>C13+4500</f>
        <v>92668</v>
      </c>
      <c r="E13" s="87">
        <f t="shared" si="0"/>
        <v>4500</v>
      </c>
      <c r="F13" s="88">
        <f t="shared" si="1"/>
        <v>1.051</v>
      </c>
      <c r="H13" s="118"/>
    </row>
    <row r="14" spans="1:8" ht="31.5" customHeight="1">
      <c r="A14" s="40" t="s">
        <v>6</v>
      </c>
      <c r="B14" s="100" t="s">
        <v>176</v>
      </c>
      <c r="C14" s="107">
        <v>31853</v>
      </c>
      <c r="D14" s="36">
        <f>C14</f>
        <v>31853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18403</v>
      </c>
      <c r="D15" s="36">
        <f>C15+1000</f>
        <v>19403</v>
      </c>
      <c r="E15" s="87">
        <f>IF(C15=D15,"-",D15-C15)</f>
        <v>1000</v>
      </c>
      <c r="F15" s="88">
        <f>IF(C15=0,"-",D15/C15)</f>
        <v>1.0543</v>
      </c>
      <c r="H15" s="118"/>
    </row>
    <row r="16" spans="1:8" ht="31.5" customHeight="1">
      <c r="A16" s="40" t="s">
        <v>8</v>
      </c>
      <c r="B16" s="100" t="s">
        <v>168</v>
      </c>
      <c r="C16" s="107">
        <v>104189</v>
      </c>
      <c r="D16" s="36">
        <f>C16+2000</f>
        <v>106189</v>
      </c>
      <c r="E16" s="87">
        <f t="shared" si="0"/>
        <v>2000</v>
      </c>
      <c r="F16" s="88">
        <f t="shared" si="1"/>
        <v>1.0192</v>
      </c>
      <c r="H16" s="118"/>
    </row>
    <row r="17" spans="1:8" ht="31.5" customHeight="1">
      <c r="A17" s="40" t="s">
        <v>9</v>
      </c>
      <c r="B17" s="100" t="s">
        <v>169</v>
      </c>
      <c r="C17" s="107">
        <v>27000</v>
      </c>
      <c r="D17" s="36">
        <f>C17</f>
        <v>27000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1234</v>
      </c>
      <c r="D18" s="36">
        <f>C18</f>
        <v>1234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8062</v>
      </c>
      <c r="D19" s="36">
        <f>C19+1200</f>
        <v>9262</v>
      </c>
      <c r="E19" s="87">
        <f t="shared" si="0"/>
        <v>1200</v>
      </c>
      <c r="F19" s="88">
        <f t="shared" si="1"/>
        <v>1.1488</v>
      </c>
      <c r="H19" s="118"/>
    </row>
    <row r="20" spans="1:8" ht="31.5" customHeight="1">
      <c r="A20" s="40" t="s">
        <v>12</v>
      </c>
      <c r="B20" s="100" t="s">
        <v>171</v>
      </c>
      <c r="C20" s="107">
        <v>85398</v>
      </c>
      <c r="D20" s="36">
        <f>C20+4000</f>
        <v>89398</v>
      </c>
      <c r="E20" s="87">
        <f t="shared" si="0"/>
        <v>4000</v>
      </c>
      <c r="F20" s="88">
        <f t="shared" si="1"/>
        <v>1.0468</v>
      </c>
      <c r="H20" s="118"/>
    </row>
    <row r="21" spans="1:8" ht="31.5" customHeight="1">
      <c r="A21" s="40" t="s">
        <v>14</v>
      </c>
      <c r="B21" s="46" t="s">
        <v>13</v>
      </c>
      <c r="C21" s="107">
        <v>25808</v>
      </c>
      <c r="D21" s="36">
        <f>C21+2000</f>
        <v>27808</v>
      </c>
      <c r="E21" s="87">
        <f t="shared" si="0"/>
        <v>2000</v>
      </c>
      <c r="F21" s="88">
        <f t="shared" si="1"/>
        <v>1.0775</v>
      </c>
      <c r="H21" s="118"/>
    </row>
    <row r="22" spans="1:8" ht="31.5" customHeight="1">
      <c r="A22" s="41" t="s">
        <v>15</v>
      </c>
      <c r="B22" s="100" t="s">
        <v>173</v>
      </c>
      <c r="C22" s="107">
        <v>468969</v>
      </c>
      <c r="D22" s="36">
        <f>C22+60420</f>
        <v>529389</v>
      </c>
      <c r="E22" s="87">
        <f t="shared" si="0"/>
        <v>60420</v>
      </c>
      <c r="F22" s="88">
        <f t="shared" si="1"/>
        <v>1.1288</v>
      </c>
      <c r="H22" s="118"/>
    </row>
    <row r="23" spans="1:8" ht="31.5" customHeight="1">
      <c r="A23" s="39" t="s">
        <v>178</v>
      </c>
      <c r="B23" s="45" t="s">
        <v>66</v>
      </c>
      <c r="C23" s="107">
        <v>957</v>
      </c>
      <c r="D23" s="36">
        <f aca="true" t="shared" si="2" ref="D23:D28">C23</f>
        <v>957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570</v>
      </c>
      <c r="D27" s="36">
        <f t="shared" si="2"/>
        <v>570</v>
      </c>
      <c r="E27" s="87" t="str">
        <f>IF(C27=D27,"-",D27-C27)</f>
        <v>-</v>
      </c>
      <c r="F27" s="88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2"/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96735</v>
      </c>
      <c r="D29" s="115">
        <v>96735</v>
      </c>
      <c r="E29" s="15" t="str">
        <f t="shared" si="0"/>
        <v>-</v>
      </c>
      <c r="F29" s="116">
        <f t="shared" si="1"/>
        <v>1</v>
      </c>
      <c r="H29" s="118"/>
    </row>
    <row r="30" spans="1:137" s="3" customFormat="1" ht="30" customHeight="1">
      <c r="A30" s="37" t="s">
        <v>17</v>
      </c>
      <c r="B30" s="57" t="s">
        <v>18</v>
      </c>
      <c r="C30" s="34">
        <f>C31+C32+C33+C41+C42+C48+C49+C50+C47</f>
        <v>29450</v>
      </c>
      <c r="D30" s="34">
        <f>D31+D32+D33+D41+D42+D48+D49+D50+D47</f>
        <v>29450</v>
      </c>
      <c r="E30" s="13" t="str">
        <f>IF(C30=D30,"-",D30-C30)</f>
        <v>-</v>
      </c>
      <c r="F30" s="89">
        <f t="shared" si="1"/>
        <v>1</v>
      </c>
      <c r="G30" s="2"/>
      <c r="H30" s="1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</row>
    <row r="31" spans="1:8" ht="28.5" customHeight="1">
      <c r="A31" s="42" t="s">
        <v>19</v>
      </c>
      <c r="B31" s="51" t="s">
        <v>20</v>
      </c>
      <c r="C31" s="92">
        <v>1358</v>
      </c>
      <c r="D31" s="35">
        <f>C31</f>
        <v>1358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2905</v>
      </c>
      <c r="D32" s="35">
        <f>C32</f>
        <v>2905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238</v>
      </c>
      <c r="D33" s="35">
        <f>D34+D36+D37+D38+D39+D40</f>
        <v>238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33</v>
      </c>
      <c r="D34" s="35">
        <f>C34</f>
        <v>33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33</v>
      </c>
      <c r="D35" s="35">
        <f aca="true" t="shared" si="4" ref="D35:D49">C35</f>
        <v>33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6</v>
      </c>
      <c r="D37" s="35">
        <f t="shared" si="4"/>
        <v>6</v>
      </c>
      <c r="E37" s="87" t="str">
        <f t="shared" si="3"/>
        <v>-</v>
      </c>
      <c r="F37" s="88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187</v>
      </c>
      <c r="D39" s="35">
        <f t="shared" si="4"/>
        <v>187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12</v>
      </c>
      <c r="D40" s="35">
        <f t="shared" si="4"/>
        <v>12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17671</v>
      </c>
      <c r="D41" s="35">
        <f t="shared" si="4"/>
        <v>17671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35">
        <f>SUM(C43:C46)</f>
        <v>3582</v>
      </c>
      <c r="D42" s="35">
        <f>SUM(D43:D46)</f>
        <v>3582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2684</v>
      </c>
      <c r="D43" s="35">
        <f>C43</f>
        <v>2684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433</v>
      </c>
      <c r="D44" s="35">
        <f>C44</f>
        <v>433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465</v>
      </c>
      <c r="D46" s="35">
        <f t="shared" si="4"/>
        <v>465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3542</v>
      </c>
      <c r="D48" s="35">
        <f t="shared" si="4"/>
        <v>3542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0</v>
      </c>
      <c r="D49" s="35">
        <f t="shared" si="4"/>
        <v>0</v>
      </c>
      <c r="E49" s="87" t="str">
        <f t="shared" si="3"/>
        <v>-</v>
      </c>
      <c r="F49" s="90" t="str">
        <f t="shared" si="5"/>
        <v>-</v>
      </c>
      <c r="H49" s="118"/>
    </row>
    <row r="50" spans="1:8" ht="33" customHeight="1">
      <c r="A50" s="42" t="s">
        <v>32</v>
      </c>
      <c r="B50" s="51" t="s">
        <v>33</v>
      </c>
      <c r="C50" s="92">
        <v>154</v>
      </c>
      <c r="D50" s="35">
        <f>C50</f>
        <v>154</v>
      </c>
      <c r="E50" s="87" t="str">
        <f t="shared" si="3"/>
        <v>-</v>
      </c>
      <c r="F50" s="88">
        <f t="shared" si="5"/>
        <v>1</v>
      </c>
      <c r="H50" s="118"/>
    </row>
    <row r="51" spans="1:137" s="3" customFormat="1" ht="30" customHeight="1">
      <c r="A51" s="44" t="s">
        <v>34</v>
      </c>
      <c r="B51" s="56" t="s">
        <v>174</v>
      </c>
      <c r="C51" s="38">
        <f>SUM(C52:C55)</f>
        <v>14214</v>
      </c>
      <c r="D51" s="38">
        <f>SUM(D52:D55)</f>
        <v>14214</v>
      </c>
      <c r="E51" s="13" t="str">
        <f t="shared" si="3"/>
        <v>-</v>
      </c>
      <c r="F51" s="91">
        <f t="shared" si="5"/>
        <v>1</v>
      </c>
      <c r="G51" s="2"/>
      <c r="H51" s="1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1:8" ht="42" customHeight="1">
      <c r="A52" s="42" t="s">
        <v>119</v>
      </c>
      <c r="B52" s="51" t="s">
        <v>144</v>
      </c>
      <c r="C52" s="92">
        <v>1161</v>
      </c>
      <c r="D52" s="35">
        <f>C52</f>
        <v>1161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11453</v>
      </c>
      <c r="D53" s="35">
        <f>C53</f>
        <v>11453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1600</v>
      </c>
      <c r="D55" s="35">
        <f>C55</f>
        <v>1600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38</v>
      </c>
      <c r="D56" s="38">
        <f>C56</f>
        <v>38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82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6729973</v>
      </c>
      <c r="D7" s="16">
        <f>D8+D9+D10+D12+D13+D14+D15+D16+D17+D18+D19+D20+D21+D22+D24+D25+D26+D27</f>
        <v>7019467</v>
      </c>
      <c r="E7" s="13">
        <f>IF(C7=D7,"-",D7-C7)</f>
        <v>289494</v>
      </c>
      <c r="F7" s="86">
        <f>IF(C7=0,"-",D7/C7)</f>
        <v>1.043</v>
      </c>
      <c r="H7" s="118"/>
    </row>
    <row r="8" spans="1:8" ht="31.5" customHeight="1">
      <c r="A8" s="40" t="s">
        <v>1</v>
      </c>
      <c r="B8" s="100" t="s">
        <v>165</v>
      </c>
      <c r="C8" s="107">
        <v>880211</v>
      </c>
      <c r="D8" s="36">
        <f>C8</f>
        <v>880211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578111</v>
      </c>
      <c r="D9" s="36">
        <f aca="true" t="shared" si="2" ref="D9:D26">C9</f>
        <v>578111</v>
      </c>
      <c r="E9" s="87" t="str">
        <f t="shared" si="0"/>
        <v>-</v>
      </c>
      <c r="F9" s="88">
        <f t="shared" si="1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3055128</v>
      </c>
      <c r="D10" s="36">
        <f>C10+138000</f>
        <v>3193128</v>
      </c>
      <c r="E10" s="87">
        <f t="shared" si="0"/>
        <v>138000</v>
      </c>
      <c r="F10" s="88">
        <f t="shared" si="1"/>
        <v>1.0452</v>
      </c>
      <c r="H10" s="118"/>
    </row>
    <row r="11" spans="1:8" ht="31.5" customHeight="1">
      <c r="A11" s="101" t="s">
        <v>64</v>
      </c>
      <c r="B11" s="45" t="s">
        <v>65</v>
      </c>
      <c r="C11" s="107">
        <v>198910</v>
      </c>
      <c r="D11" s="36">
        <f t="shared" si="2"/>
        <v>198910</v>
      </c>
      <c r="E11" s="87" t="str">
        <f t="shared" si="0"/>
        <v>-</v>
      </c>
      <c r="F11" s="88">
        <f t="shared" si="1"/>
        <v>1</v>
      </c>
      <c r="H11" s="118"/>
    </row>
    <row r="12" spans="1:8" ht="31.5" customHeight="1">
      <c r="A12" s="40" t="s">
        <v>4</v>
      </c>
      <c r="B12" s="100" t="s">
        <v>172</v>
      </c>
      <c r="C12" s="107">
        <v>236791</v>
      </c>
      <c r="D12" s="36">
        <f>C12+10000</f>
        <v>246791</v>
      </c>
      <c r="E12" s="87">
        <f t="shared" si="0"/>
        <v>10000</v>
      </c>
      <c r="F12" s="88">
        <f t="shared" si="1"/>
        <v>1.0422</v>
      </c>
      <c r="H12" s="118"/>
    </row>
    <row r="13" spans="1:8" ht="31.5" customHeight="1">
      <c r="A13" s="40" t="s">
        <v>5</v>
      </c>
      <c r="B13" s="100" t="s">
        <v>167</v>
      </c>
      <c r="C13" s="107">
        <v>192671</v>
      </c>
      <c r="D13" s="36">
        <f>C13+11494</f>
        <v>204165</v>
      </c>
      <c r="E13" s="87">
        <f t="shared" si="0"/>
        <v>11494</v>
      </c>
      <c r="F13" s="88">
        <f t="shared" si="1"/>
        <v>1.0597</v>
      </c>
      <c r="H13" s="118"/>
    </row>
    <row r="14" spans="1:8" ht="31.5" customHeight="1">
      <c r="A14" s="40" t="s">
        <v>6</v>
      </c>
      <c r="B14" s="100" t="s">
        <v>176</v>
      </c>
      <c r="C14" s="107">
        <v>172927</v>
      </c>
      <c r="D14" s="36">
        <f>C14+5000</f>
        <v>177927</v>
      </c>
      <c r="E14" s="87">
        <f t="shared" si="0"/>
        <v>5000</v>
      </c>
      <c r="F14" s="88">
        <f t="shared" si="1"/>
        <v>1.0289</v>
      </c>
      <c r="H14" s="118"/>
    </row>
    <row r="15" spans="1:8" ht="31.5" customHeight="1">
      <c r="A15" s="40" t="s">
        <v>7</v>
      </c>
      <c r="B15" s="100" t="s">
        <v>175</v>
      </c>
      <c r="C15" s="107">
        <v>29486</v>
      </c>
      <c r="D15" s="36">
        <f>C15+5000</f>
        <v>34486</v>
      </c>
      <c r="E15" s="87">
        <f>IF(C15=D15,"-",D15-C15)</f>
        <v>5000</v>
      </c>
      <c r="F15" s="88">
        <f>IF(C15=0,"-",D15/C15)</f>
        <v>1.1696</v>
      </c>
      <c r="H15" s="118"/>
    </row>
    <row r="16" spans="1:8" ht="31.5" customHeight="1">
      <c r="A16" s="40" t="s">
        <v>8</v>
      </c>
      <c r="B16" s="100" t="s">
        <v>168</v>
      </c>
      <c r="C16" s="107">
        <v>190060</v>
      </c>
      <c r="D16" s="36">
        <f t="shared" si="2"/>
        <v>190060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70000</v>
      </c>
      <c r="D17" s="36">
        <f t="shared" si="2"/>
        <v>70000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4061</v>
      </c>
      <c r="D18" s="36">
        <f t="shared" si="2"/>
        <v>4061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15119</v>
      </c>
      <c r="D19" s="36">
        <f>C19+5000</f>
        <v>20119</v>
      </c>
      <c r="E19" s="87">
        <f t="shared" si="0"/>
        <v>5000</v>
      </c>
      <c r="F19" s="88">
        <f t="shared" si="1"/>
        <v>1.3307</v>
      </c>
      <c r="H19" s="118"/>
    </row>
    <row r="20" spans="1:8" ht="31.5" customHeight="1">
      <c r="A20" s="40" t="s">
        <v>12</v>
      </c>
      <c r="B20" s="100" t="s">
        <v>171</v>
      </c>
      <c r="C20" s="107">
        <v>156346</v>
      </c>
      <c r="D20" s="36">
        <f>C20+10000</f>
        <v>166346</v>
      </c>
      <c r="E20" s="87">
        <f t="shared" si="0"/>
        <v>10000</v>
      </c>
      <c r="F20" s="88">
        <f t="shared" si="1"/>
        <v>1.064</v>
      </c>
      <c r="H20" s="118"/>
    </row>
    <row r="21" spans="1:8" ht="31.5" customHeight="1">
      <c r="A21" s="40" t="s">
        <v>14</v>
      </c>
      <c r="B21" s="46" t="s">
        <v>13</v>
      </c>
      <c r="C21" s="107">
        <v>79110</v>
      </c>
      <c r="D21" s="36">
        <f t="shared" si="2"/>
        <v>79110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1042638</v>
      </c>
      <c r="D22" s="36">
        <f>C22+10000</f>
        <v>1052638</v>
      </c>
      <c r="E22" s="87">
        <f t="shared" si="0"/>
        <v>10000</v>
      </c>
      <c r="F22" s="88">
        <f t="shared" si="1"/>
        <v>1.0096</v>
      </c>
      <c r="H22" s="118"/>
    </row>
    <row r="23" spans="1:8" ht="31.5" customHeight="1">
      <c r="A23" s="39" t="s">
        <v>178</v>
      </c>
      <c r="B23" s="45" t="s">
        <v>66</v>
      </c>
      <c r="C23" s="107">
        <v>1946</v>
      </c>
      <c r="D23" s="36">
        <f t="shared" si="2"/>
        <v>1946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27314</v>
      </c>
      <c r="D27" s="36">
        <f>C27+95000</f>
        <v>122314</v>
      </c>
      <c r="E27" s="87">
        <f>IF(C27=D27,"-",D27-C27)</f>
        <v>95000</v>
      </c>
      <c r="F27" s="88">
        <f>IF(C27=0,"-",D27/C27)</f>
        <v>4.4781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187586</v>
      </c>
      <c r="D29" s="115">
        <v>187586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57708</v>
      </c>
      <c r="D30" s="34">
        <f>D31+D32+D33+D41+D42+D48+D49+D50+D47</f>
        <v>57708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2073</v>
      </c>
      <c r="D31" s="35">
        <f>C31</f>
        <v>2073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6734</v>
      </c>
      <c r="D32" s="35">
        <f>C32</f>
        <v>6734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601</v>
      </c>
      <c r="D33" s="35">
        <f>D34+D36+D37+D38+D39+D40</f>
        <v>601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67</v>
      </c>
      <c r="D34" s="35">
        <f>C34</f>
        <v>67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67</v>
      </c>
      <c r="D35" s="35">
        <f aca="true" t="shared" si="4" ref="D35:D47">C35</f>
        <v>67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11</v>
      </c>
      <c r="D37" s="35">
        <f t="shared" si="4"/>
        <v>11</v>
      </c>
      <c r="E37" s="87" t="str">
        <f t="shared" si="3"/>
        <v>-</v>
      </c>
      <c r="F37" s="88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506</v>
      </c>
      <c r="D39" s="35">
        <f t="shared" si="4"/>
        <v>506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17</v>
      </c>
      <c r="D40" s="35">
        <f t="shared" si="4"/>
        <v>17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35546</v>
      </c>
      <c r="D41" s="35">
        <f t="shared" si="4"/>
        <v>35546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7166</v>
      </c>
      <c r="D42" s="35">
        <f>SUM(D43:D46)</f>
        <v>7166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5399</v>
      </c>
      <c r="D43" s="35">
        <f>C43</f>
        <v>5399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871</v>
      </c>
      <c r="D44" s="35">
        <f>C44</f>
        <v>871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896</v>
      </c>
      <c r="D46" s="35">
        <f>C46</f>
        <v>896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4921</v>
      </c>
      <c r="D48" s="35">
        <f>C48</f>
        <v>4921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197</v>
      </c>
      <c r="D49" s="35">
        <f>C49</f>
        <v>197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470</v>
      </c>
      <c r="D50" s="35">
        <f>C50</f>
        <v>470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13690</v>
      </c>
      <c r="D51" s="38">
        <f>SUM(D52:D55)</f>
        <v>13690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640</v>
      </c>
      <c r="D52" s="35">
        <f>C52</f>
        <v>640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10150</v>
      </c>
      <c r="D53" s="35">
        <f>C53</f>
        <v>10150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2900</v>
      </c>
      <c r="D55" s="35">
        <f>C55</f>
        <v>2900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2989</v>
      </c>
      <c r="D56" s="38">
        <f>C56</f>
        <v>2989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ySplit="7" topLeftCell="A8" activePane="bottomLeft" state="frozen"/>
      <selection pane="topLeft" activeCell="C83" sqref="C83"/>
      <selection pane="bottomLef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83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1744335</v>
      </c>
      <c r="D7" s="16">
        <f>D8+D9+D10+D12+D13+D14+D15+D16+D17+D18+D19+D20+D21+D22+D24+D25+D26+D27</f>
        <v>1827575</v>
      </c>
      <c r="E7" s="13">
        <f>IF(C7=D7,"-",D7-C7)</f>
        <v>83240</v>
      </c>
      <c r="F7" s="86">
        <f>IF(C7=0,"-",D7/C7)</f>
        <v>1.048</v>
      </c>
      <c r="H7" s="118"/>
    </row>
    <row r="8" spans="1:8" ht="31.5" customHeight="1">
      <c r="A8" s="40" t="s">
        <v>1</v>
      </c>
      <c r="B8" s="100" t="s">
        <v>165</v>
      </c>
      <c r="C8" s="107">
        <v>245000</v>
      </c>
      <c r="D8" s="36">
        <f aca="true" t="shared" si="0" ref="D8:D26">C8</f>
        <v>245000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106054</v>
      </c>
      <c r="D9" s="36">
        <f>C9+750</f>
        <v>106804</v>
      </c>
      <c r="E9" s="87">
        <f t="shared" si="1"/>
        <v>750</v>
      </c>
      <c r="F9" s="88">
        <f t="shared" si="2"/>
        <v>1.0071</v>
      </c>
      <c r="H9" s="118"/>
    </row>
    <row r="10" spans="1:8" ht="31.5" customHeight="1">
      <c r="A10" s="40" t="s">
        <v>3</v>
      </c>
      <c r="B10" s="100" t="s">
        <v>157</v>
      </c>
      <c r="C10" s="107">
        <v>847699</v>
      </c>
      <c r="D10" s="36">
        <f>C10+33790</f>
        <v>881489</v>
      </c>
      <c r="E10" s="87">
        <f t="shared" si="1"/>
        <v>33790</v>
      </c>
      <c r="F10" s="88">
        <f t="shared" si="2"/>
        <v>1.0399</v>
      </c>
      <c r="H10" s="118"/>
    </row>
    <row r="11" spans="1:8" ht="31.5" customHeight="1">
      <c r="A11" s="101" t="s">
        <v>64</v>
      </c>
      <c r="B11" s="45" t="s">
        <v>65</v>
      </c>
      <c r="C11" s="107">
        <v>44126</v>
      </c>
      <c r="D11" s="36">
        <f>C11+10500</f>
        <v>54626</v>
      </c>
      <c r="E11" s="87">
        <f t="shared" si="1"/>
        <v>10500</v>
      </c>
      <c r="F11" s="88">
        <f t="shared" si="2"/>
        <v>1.238</v>
      </c>
      <c r="H11" s="118"/>
    </row>
    <row r="12" spans="1:8" ht="31.5" customHeight="1">
      <c r="A12" s="40" t="s">
        <v>4</v>
      </c>
      <c r="B12" s="100" t="s">
        <v>172</v>
      </c>
      <c r="C12" s="107">
        <v>57302</v>
      </c>
      <c r="D12" s="36">
        <f>C12+300</f>
        <v>57602</v>
      </c>
      <c r="E12" s="87">
        <f t="shared" si="1"/>
        <v>300</v>
      </c>
      <c r="F12" s="88">
        <f t="shared" si="2"/>
        <v>1.0052</v>
      </c>
      <c r="H12" s="118"/>
    </row>
    <row r="13" spans="1:8" ht="31.5" customHeight="1">
      <c r="A13" s="40" t="s">
        <v>5</v>
      </c>
      <c r="B13" s="100" t="s">
        <v>167</v>
      </c>
      <c r="C13" s="107">
        <v>55751</v>
      </c>
      <c r="D13" s="36">
        <f t="shared" si="0"/>
        <v>55751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25096</v>
      </c>
      <c r="D14" s="36">
        <f>C14+900</f>
        <v>25996</v>
      </c>
      <c r="E14" s="87">
        <f t="shared" si="1"/>
        <v>900</v>
      </c>
      <c r="F14" s="88">
        <f t="shared" si="2"/>
        <v>1.0359</v>
      </c>
      <c r="H14" s="118"/>
    </row>
    <row r="15" spans="1:8" ht="31.5" customHeight="1">
      <c r="A15" s="40" t="s">
        <v>7</v>
      </c>
      <c r="B15" s="100" t="s">
        <v>175</v>
      </c>
      <c r="C15" s="107">
        <v>7205</v>
      </c>
      <c r="D15" s="36">
        <f>C15+900</f>
        <v>8105</v>
      </c>
      <c r="E15" s="87">
        <f>IF(C15=D15,"-",D15-C15)</f>
        <v>900</v>
      </c>
      <c r="F15" s="88">
        <f>IF(C15=0,"-",D15/C15)</f>
        <v>1.1249</v>
      </c>
      <c r="H15" s="118"/>
    </row>
    <row r="16" spans="1:8" ht="31.5" customHeight="1">
      <c r="A16" s="40" t="s">
        <v>8</v>
      </c>
      <c r="B16" s="100" t="s">
        <v>168</v>
      </c>
      <c r="C16" s="107">
        <v>55504</v>
      </c>
      <c r="D16" s="36">
        <f t="shared" si="0"/>
        <v>55504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21000</v>
      </c>
      <c r="D17" s="36">
        <f t="shared" si="0"/>
        <v>21000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1300</v>
      </c>
      <c r="D18" s="36">
        <f t="shared" si="0"/>
        <v>1300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4189</v>
      </c>
      <c r="D19" s="36">
        <f t="shared" si="0"/>
        <v>4189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41250</v>
      </c>
      <c r="D20" s="36">
        <f>C20+600</f>
        <v>41850</v>
      </c>
      <c r="E20" s="87">
        <f t="shared" si="1"/>
        <v>600</v>
      </c>
      <c r="F20" s="88">
        <f t="shared" si="2"/>
        <v>1.0145</v>
      </c>
      <c r="H20" s="118"/>
    </row>
    <row r="21" spans="1:8" ht="31.5" customHeight="1">
      <c r="A21" s="40" t="s">
        <v>14</v>
      </c>
      <c r="B21" s="46" t="s">
        <v>13</v>
      </c>
      <c r="C21" s="107">
        <v>19900</v>
      </c>
      <c r="D21" s="36">
        <f t="shared" si="0"/>
        <v>19900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256436</v>
      </c>
      <c r="D22" s="36">
        <f>C22+26000</f>
        <v>282436</v>
      </c>
      <c r="E22" s="87">
        <f t="shared" si="1"/>
        <v>26000</v>
      </c>
      <c r="F22" s="88">
        <f t="shared" si="2"/>
        <v>1.1014</v>
      </c>
      <c r="H22" s="118"/>
    </row>
    <row r="23" spans="1:8" ht="31.5" customHeight="1">
      <c r="A23" s="39" t="s">
        <v>178</v>
      </c>
      <c r="B23" s="45" t="s">
        <v>66</v>
      </c>
      <c r="C23" s="107">
        <v>580</v>
      </c>
      <c r="D23" s="36">
        <f t="shared" si="0"/>
        <v>580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0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0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0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649</v>
      </c>
      <c r="D27" s="36">
        <f>C27+20000</f>
        <v>20649</v>
      </c>
      <c r="E27" s="87">
        <f>IF(C27=D27,"-",D27-C27)</f>
        <v>20000</v>
      </c>
      <c r="F27" s="88">
        <f>IF(C27=0,"-",D27/C27)</f>
        <v>31.8166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53126</v>
      </c>
      <c r="D29" s="115">
        <v>53126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16053</v>
      </c>
      <c r="D30" s="34">
        <f>D31+D32+D33+D41+D42+D48+D49+D50+D47</f>
        <v>16053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691</v>
      </c>
      <c r="D31" s="35">
        <f>C31</f>
        <v>691</v>
      </c>
      <c r="E31" s="87" t="str">
        <f aca="true" t="shared" si="3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1279</v>
      </c>
      <c r="D32" s="35">
        <f>C32</f>
        <v>1279</v>
      </c>
      <c r="E32" s="87" t="str">
        <f t="shared" si="3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49</v>
      </c>
      <c r="D33" s="35">
        <f>D34+D36+D37+D38+D39+D40</f>
        <v>49</v>
      </c>
      <c r="E33" s="87" t="str">
        <f t="shared" si="3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</v>
      </c>
      <c r="D34" s="35">
        <f>C34</f>
        <v>3</v>
      </c>
      <c r="E34" s="87" t="str">
        <f t="shared" si="3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3</v>
      </c>
      <c r="D35" s="35">
        <f aca="true" t="shared" si="4" ref="D35:D47">C35</f>
        <v>3</v>
      </c>
      <c r="E35" s="87" t="str">
        <f t="shared" si="3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3</v>
      </c>
      <c r="D36" s="35">
        <f t="shared" si="4"/>
        <v>3</v>
      </c>
      <c r="E36" s="87" t="str">
        <f t="shared" si="3"/>
        <v>-</v>
      </c>
      <c r="F36" s="88">
        <f t="shared" si="2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43</v>
      </c>
      <c r="D39" s="35">
        <f t="shared" si="4"/>
        <v>43</v>
      </c>
      <c r="E39" s="87" t="str">
        <f t="shared" si="3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0</v>
      </c>
      <c r="D40" s="35">
        <f t="shared" si="4"/>
        <v>0</v>
      </c>
      <c r="E40" s="87" t="str">
        <f t="shared" si="3"/>
        <v>-</v>
      </c>
      <c r="F40" s="88" t="str">
        <f t="shared" si="2"/>
        <v>-</v>
      </c>
      <c r="H40" s="118"/>
    </row>
    <row r="41" spans="1:8" ht="28.5" customHeight="1">
      <c r="A41" s="42" t="s">
        <v>24</v>
      </c>
      <c r="B41" s="51" t="s">
        <v>25</v>
      </c>
      <c r="C41" s="35">
        <v>9966</v>
      </c>
      <c r="D41" s="35">
        <f t="shared" si="4"/>
        <v>9966</v>
      </c>
      <c r="E41" s="87" t="str">
        <f t="shared" si="3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2014</v>
      </c>
      <c r="D42" s="35">
        <f>SUM(D43:D46)</f>
        <v>2014</v>
      </c>
      <c r="E42" s="87" t="str">
        <f t="shared" si="3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1514</v>
      </c>
      <c r="D43" s="35">
        <f>C43</f>
        <v>1514</v>
      </c>
      <c r="E43" s="87" t="str">
        <f t="shared" si="3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244</v>
      </c>
      <c r="D44" s="35">
        <f>C44</f>
        <v>244</v>
      </c>
      <c r="E44" s="87" t="str">
        <f t="shared" si="3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256</v>
      </c>
      <c r="D46" s="35">
        <f>C46</f>
        <v>256</v>
      </c>
      <c r="E46" s="87" t="str">
        <f t="shared" si="3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1659</v>
      </c>
      <c r="D48" s="35">
        <f>C48</f>
        <v>1659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150</v>
      </c>
      <c r="D49" s="35">
        <f>C49</f>
        <v>150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245</v>
      </c>
      <c r="D50" s="35">
        <f>C50</f>
        <v>245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18113</v>
      </c>
      <c r="D51" s="38">
        <f>SUM(D52:D55)</f>
        <v>18113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15</v>
      </c>
      <c r="D52" s="35">
        <f>C52</f>
        <v>15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17598</v>
      </c>
      <c r="D53" s="35">
        <f>C53-100</f>
        <v>17498</v>
      </c>
      <c r="E53" s="92">
        <f>IF(C53=D53,"-",D53-C53)</f>
        <v>-100</v>
      </c>
      <c r="F53" s="98">
        <f t="shared" si="5"/>
        <v>0.9943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500</v>
      </c>
      <c r="D55" s="35">
        <f>C55+100</f>
        <v>600</v>
      </c>
      <c r="E55" s="92">
        <f>IF(C55=D55,"-",D55-C55)</f>
        <v>100</v>
      </c>
      <c r="F55" s="98">
        <f t="shared" si="5"/>
        <v>1.2</v>
      </c>
      <c r="H55" s="118"/>
    </row>
    <row r="56" spans="1:8" ht="32.25" customHeight="1">
      <c r="A56" s="44" t="s">
        <v>127</v>
      </c>
      <c r="B56" s="56" t="s">
        <v>154</v>
      </c>
      <c r="C56" s="109">
        <v>4100</v>
      </c>
      <c r="D56" s="38">
        <f>C56</f>
        <v>4100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2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5.125" style="2" bestFit="1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84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1859565</v>
      </c>
      <c r="D7" s="16">
        <f>D8+D9+D10+D12+D13+D14+D15+D16+D17+D18+D19+D20+D21+D22+D24+D25+D26+D27</f>
        <v>1945043</v>
      </c>
      <c r="E7" s="13">
        <f>IF(C7=D7,"-",D7-C7)</f>
        <v>85478</v>
      </c>
      <c r="F7" s="86">
        <f>IF(C7=0,"-",D7/C7)</f>
        <v>1.046</v>
      </c>
      <c r="H7" s="118"/>
    </row>
    <row r="8" spans="1:8" ht="31.5" customHeight="1">
      <c r="A8" s="40" t="s">
        <v>1</v>
      </c>
      <c r="B8" s="100" t="s">
        <v>165</v>
      </c>
      <c r="C8" s="107">
        <v>272000</v>
      </c>
      <c r="D8" s="36">
        <f>C8</f>
        <v>272000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141958</v>
      </c>
      <c r="D9" s="36">
        <f>C9+5100</f>
        <v>147058</v>
      </c>
      <c r="E9" s="87">
        <f t="shared" si="0"/>
        <v>5100</v>
      </c>
      <c r="F9" s="88">
        <f t="shared" si="1"/>
        <v>1.0359</v>
      </c>
      <c r="H9" s="118"/>
    </row>
    <row r="10" spans="1:8" ht="31.5" customHeight="1">
      <c r="A10" s="40" t="s">
        <v>3</v>
      </c>
      <c r="B10" s="100" t="s">
        <v>157</v>
      </c>
      <c r="C10" s="107">
        <v>864697</v>
      </c>
      <c r="D10" s="36">
        <f>C10+38080</f>
        <v>902777</v>
      </c>
      <c r="E10" s="87">
        <f t="shared" si="0"/>
        <v>38080</v>
      </c>
      <c r="F10" s="88">
        <f t="shared" si="1"/>
        <v>1.044</v>
      </c>
      <c r="H10" s="118"/>
    </row>
    <row r="11" spans="1:8" ht="31.5" customHeight="1">
      <c r="A11" s="101" t="s">
        <v>64</v>
      </c>
      <c r="B11" s="45" t="s">
        <v>65</v>
      </c>
      <c r="C11" s="107">
        <v>43059</v>
      </c>
      <c r="D11" s="36">
        <f>C11+6650</f>
        <v>49709</v>
      </c>
      <c r="E11" s="87">
        <f t="shared" si="0"/>
        <v>6650</v>
      </c>
      <c r="F11" s="88">
        <f t="shared" si="1"/>
        <v>1.1544</v>
      </c>
      <c r="H11" s="118"/>
    </row>
    <row r="12" spans="1:8" ht="31.5" customHeight="1">
      <c r="A12" s="40" t="s">
        <v>4</v>
      </c>
      <c r="B12" s="100" t="s">
        <v>172</v>
      </c>
      <c r="C12" s="107">
        <v>68935</v>
      </c>
      <c r="D12" s="36">
        <f>C12+2000</f>
        <v>70935</v>
      </c>
      <c r="E12" s="87">
        <f t="shared" si="0"/>
        <v>2000</v>
      </c>
      <c r="F12" s="88">
        <f t="shared" si="1"/>
        <v>1.029</v>
      </c>
      <c r="H12" s="118"/>
    </row>
    <row r="13" spans="1:8" ht="31.5" customHeight="1">
      <c r="A13" s="40" t="s">
        <v>5</v>
      </c>
      <c r="B13" s="100" t="s">
        <v>167</v>
      </c>
      <c r="C13" s="107">
        <v>54210</v>
      </c>
      <c r="D13" s="36">
        <f>C13+1500</f>
        <v>55710</v>
      </c>
      <c r="E13" s="87">
        <f t="shared" si="0"/>
        <v>1500</v>
      </c>
      <c r="F13" s="88">
        <f t="shared" si="1"/>
        <v>1.0277</v>
      </c>
      <c r="H13" s="118"/>
    </row>
    <row r="14" spans="1:8" ht="31.5" customHeight="1">
      <c r="A14" s="40" t="s">
        <v>6</v>
      </c>
      <c r="B14" s="100" t="s">
        <v>176</v>
      </c>
      <c r="C14" s="107">
        <v>22861</v>
      </c>
      <c r="D14" s="36">
        <f>C14+900</f>
        <v>23761</v>
      </c>
      <c r="E14" s="87">
        <f t="shared" si="0"/>
        <v>900</v>
      </c>
      <c r="F14" s="88">
        <f t="shared" si="1"/>
        <v>1.0394</v>
      </c>
      <c r="H14" s="118"/>
    </row>
    <row r="15" spans="1:8" ht="31.5" customHeight="1">
      <c r="A15" s="40" t="s">
        <v>7</v>
      </c>
      <c r="B15" s="100" t="s">
        <v>175</v>
      </c>
      <c r="C15" s="107">
        <v>12112</v>
      </c>
      <c r="D15" s="36">
        <f>C15+500</f>
        <v>12612</v>
      </c>
      <c r="E15" s="87">
        <f>IF(C15=D15,"-",D15-C15)</f>
        <v>500</v>
      </c>
      <c r="F15" s="88">
        <f>IF(C15=0,"-",D15/C15)</f>
        <v>1.0413</v>
      </c>
      <c r="H15" s="118"/>
    </row>
    <row r="16" spans="1:8" ht="31.5" customHeight="1">
      <c r="A16" s="40" t="s">
        <v>8</v>
      </c>
      <c r="B16" s="100" t="s">
        <v>168</v>
      </c>
      <c r="C16" s="107">
        <v>76532</v>
      </c>
      <c r="D16" s="36">
        <f>C16+278</f>
        <v>76810</v>
      </c>
      <c r="E16" s="87">
        <f t="shared" si="0"/>
        <v>278</v>
      </c>
      <c r="F16" s="88">
        <f t="shared" si="1"/>
        <v>1.0036</v>
      </c>
      <c r="H16" s="118"/>
    </row>
    <row r="17" spans="1:8" ht="31.5" customHeight="1">
      <c r="A17" s="40" t="s">
        <v>9</v>
      </c>
      <c r="B17" s="100" t="s">
        <v>169</v>
      </c>
      <c r="C17" s="107">
        <v>12500</v>
      </c>
      <c r="D17" s="36">
        <f>C17</f>
        <v>12500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2101</v>
      </c>
      <c r="D18" s="36">
        <f>C18</f>
        <v>2101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4784</v>
      </c>
      <c r="D19" s="36">
        <f>C19</f>
        <v>4784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46184</v>
      </c>
      <c r="D20" s="36">
        <f>C20+4000</f>
        <v>50184</v>
      </c>
      <c r="E20" s="87">
        <f t="shared" si="0"/>
        <v>4000</v>
      </c>
      <c r="F20" s="88">
        <f t="shared" si="1"/>
        <v>1.0866</v>
      </c>
      <c r="H20" s="118"/>
    </row>
    <row r="21" spans="1:8" ht="31.5" customHeight="1">
      <c r="A21" s="40" t="s">
        <v>14</v>
      </c>
      <c r="B21" s="46" t="s">
        <v>13</v>
      </c>
      <c r="C21" s="107">
        <v>21527</v>
      </c>
      <c r="D21" s="36">
        <f>C21+300</f>
        <v>21827</v>
      </c>
      <c r="E21" s="87">
        <f t="shared" si="0"/>
        <v>300</v>
      </c>
      <c r="F21" s="88">
        <f t="shared" si="1"/>
        <v>1.0139</v>
      </c>
      <c r="H21" s="118"/>
    </row>
    <row r="22" spans="1:8" ht="31.5" customHeight="1">
      <c r="A22" s="41" t="s">
        <v>15</v>
      </c>
      <c r="B22" s="100" t="s">
        <v>173</v>
      </c>
      <c r="C22" s="107">
        <v>258518</v>
      </c>
      <c r="D22" s="36">
        <f>C22+26820</f>
        <v>285338</v>
      </c>
      <c r="E22" s="87">
        <f t="shared" si="0"/>
        <v>26820</v>
      </c>
      <c r="F22" s="88">
        <f t="shared" si="1"/>
        <v>1.1037</v>
      </c>
      <c r="H22" s="118"/>
    </row>
    <row r="23" spans="1:8" ht="31.5" customHeight="1">
      <c r="A23" s="39" t="s">
        <v>178</v>
      </c>
      <c r="B23" s="45" t="s">
        <v>66</v>
      </c>
      <c r="C23" s="107">
        <v>1500</v>
      </c>
      <c r="D23" s="36">
        <f>C23</f>
        <v>1500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646</v>
      </c>
      <c r="D27" s="36">
        <f>C27+6000</f>
        <v>6646</v>
      </c>
      <c r="E27" s="87">
        <f>IF(C27=D27,"-",D27-C27)</f>
        <v>6000</v>
      </c>
      <c r="F27" s="88">
        <f>IF(C27=0,"-",D27/C27)</f>
        <v>10.2879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86352</v>
      </c>
      <c r="D29" s="115">
        <f>C29</f>
        <v>86352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18237</v>
      </c>
      <c r="D30" s="34">
        <f>D31+D32+D33+D41+D42+D48+D49+D50+D47</f>
        <v>18237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732</v>
      </c>
      <c r="D31" s="35">
        <f>C31</f>
        <v>732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1711</v>
      </c>
      <c r="D32" s="35">
        <f>C32</f>
        <v>1711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63</v>
      </c>
      <c r="D33" s="35">
        <f>D34+D36+D37+D38+D39+D40</f>
        <v>63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31</v>
      </c>
      <c r="D34" s="35">
        <f>C34</f>
        <v>31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28</v>
      </c>
      <c r="D35" s="35">
        <f aca="true" t="shared" si="3" ref="D35:D47">C35</f>
        <v>28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29</v>
      </c>
      <c r="D39" s="35">
        <f t="shared" si="3"/>
        <v>29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3</v>
      </c>
      <c r="D40" s="35">
        <f t="shared" si="3"/>
        <v>3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10416</v>
      </c>
      <c r="D41" s="35">
        <f t="shared" si="3"/>
        <v>10416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2095</v>
      </c>
      <c r="D42" s="35">
        <f>SUM(D43:D46)</f>
        <v>2095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1582</v>
      </c>
      <c r="D43" s="35">
        <f>C43</f>
        <v>1582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255</v>
      </c>
      <c r="D44" s="35">
        <f>C44</f>
        <v>255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258</v>
      </c>
      <c r="D46" s="35">
        <f>C46</f>
        <v>258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3008</v>
      </c>
      <c r="D48" s="35">
        <f>C48</f>
        <v>3008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80</v>
      </c>
      <c r="D49" s="35">
        <f>C49</f>
        <v>80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132</v>
      </c>
      <c r="D50" s="35">
        <f>C50</f>
        <v>132</v>
      </c>
      <c r="E50" s="87" t="str">
        <f t="shared" si="2"/>
        <v>-</v>
      </c>
      <c r="F50" s="88">
        <f t="shared" si="4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200</v>
      </c>
      <c r="D51" s="38">
        <f>SUM(D52:D55)</f>
        <v>36200</v>
      </c>
      <c r="E51" s="13">
        <f t="shared" si="2"/>
        <v>36000</v>
      </c>
      <c r="F51" s="91">
        <f t="shared" si="4"/>
        <v>181</v>
      </c>
      <c r="H51" s="118"/>
    </row>
    <row r="52" spans="1:8" ht="42" customHeight="1">
      <c r="A52" s="42" t="s">
        <v>119</v>
      </c>
      <c r="B52" s="51" t="s">
        <v>144</v>
      </c>
      <c r="C52" s="92">
        <v>200</v>
      </c>
      <c r="D52" s="35">
        <f>C52</f>
        <v>200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0</v>
      </c>
      <c r="D53" s="35">
        <f>C53+36000</f>
        <v>36000</v>
      </c>
      <c r="E53" s="92">
        <f>IF(C53=D53,"-",D53-C53)</f>
        <v>36000</v>
      </c>
      <c r="F53" s="98" t="str">
        <f t="shared" si="4"/>
        <v>-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0</v>
      </c>
      <c r="D55" s="35">
        <f>C55</f>
        <v>0</v>
      </c>
      <c r="E55" s="92" t="str">
        <f>IF(C55=D55,"-",D55-C55)</f>
        <v>-</v>
      </c>
      <c r="F55" s="98" t="str">
        <f t="shared" si="4"/>
        <v>-</v>
      </c>
      <c r="H55" s="118"/>
    </row>
    <row r="56" spans="1:8" ht="32.25" customHeight="1">
      <c r="A56" s="44" t="s">
        <v>127</v>
      </c>
      <c r="B56" s="56" t="s">
        <v>154</v>
      </c>
      <c r="C56" s="109">
        <v>3</v>
      </c>
      <c r="D56" s="38">
        <f>C56</f>
        <v>3</v>
      </c>
      <c r="E56" s="13" t="str">
        <f>IF(C56=D56,"-",D56-C56)</f>
        <v>-</v>
      </c>
      <c r="F56" s="105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85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4697063</v>
      </c>
      <c r="D7" s="16">
        <f>D8+D9+D10+D12+D13+D14+D15+D16+D17+D18+D19+D20+D21+D22+D24+D25+D26+D27</f>
        <v>4907055</v>
      </c>
      <c r="E7" s="13">
        <f>IF(C7=D7,"-",D7-C7)</f>
        <v>209992</v>
      </c>
      <c r="F7" s="86">
        <f>IF(C7=0,"-",D7/C7)</f>
        <v>1.045</v>
      </c>
      <c r="H7" s="118"/>
    </row>
    <row r="8" spans="1:8" ht="31.5" customHeight="1">
      <c r="A8" s="40" t="s">
        <v>1</v>
      </c>
      <c r="B8" s="100" t="s">
        <v>165</v>
      </c>
      <c r="C8" s="110">
        <v>665000</v>
      </c>
      <c r="D8" s="36">
        <f>C8+3000</f>
        <v>668000</v>
      </c>
      <c r="E8" s="87">
        <f aca="true" t="shared" si="0" ref="E8:E29">IF(C8=D8,"-",D8-C8)</f>
        <v>3000</v>
      </c>
      <c r="F8" s="88">
        <f aca="true" t="shared" si="1" ref="F8:F46">IF(C8=0,"-",D8/C8)</f>
        <v>1.0045</v>
      </c>
      <c r="H8" s="118"/>
    </row>
    <row r="9" spans="1:8" ht="31.5" customHeight="1">
      <c r="A9" s="40" t="s">
        <v>2</v>
      </c>
      <c r="B9" s="100" t="s">
        <v>166</v>
      </c>
      <c r="C9" s="110">
        <v>380250</v>
      </c>
      <c r="D9" s="36">
        <f>C9+5750</f>
        <v>386000</v>
      </c>
      <c r="E9" s="87">
        <f t="shared" si="0"/>
        <v>5750</v>
      </c>
      <c r="F9" s="88">
        <f t="shared" si="1"/>
        <v>1.0151</v>
      </c>
      <c r="H9" s="118"/>
    </row>
    <row r="10" spans="1:8" ht="31.5" customHeight="1">
      <c r="A10" s="40" t="s">
        <v>3</v>
      </c>
      <c r="B10" s="100" t="s">
        <v>157</v>
      </c>
      <c r="C10" s="110">
        <v>2252905</v>
      </c>
      <c r="D10" s="36">
        <f>C10+50650</f>
        <v>2303555</v>
      </c>
      <c r="E10" s="87">
        <f t="shared" si="0"/>
        <v>50650</v>
      </c>
      <c r="F10" s="88">
        <f t="shared" si="1"/>
        <v>1.0225</v>
      </c>
      <c r="H10" s="118"/>
    </row>
    <row r="11" spans="1:8" ht="31.5" customHeight="1">
      <c r="A11" s="101" t="s">
        <v>64</v>
      </c>
      <c r="B11" s="45" t="s">
        <v>65</v>
      </c>
      <c r="C11" s="110">
        <v>122300</v>
      </c>
      <c r="D11" s="36">
        <f>C11+8000</f>
        <v>130300</v>
      </c>
      <c r="E11" s="87">
        <f t="shared" si="0"/>
        <v>8000</v>
      </c>
      <c r="F11" s="88">
        <f t="shared" si="1"/>
        <v>1.0654</v>
      </c>
      <c r="H11" s="118"/>
    </row>
    <row r="12" spans="1:8" ht="31.5" customHeight="1">
      <c r="A12" s="40" t="s">
        <v>4</v>
      </c>
      <c r="B12" s="100" t="s">
        <v>172</v>
      </c>
      <c r="C12" s="110">
        <v>162100</v>
      </c>
      <c r="D12" s="36">
        <f>C12</f>
        <v>162100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10">
        <v>128000</v>
      </c>
      <c r="D13" s="36">
        <f>C13+5000</f>
        <v>133000</v>
      </c>
      <c r="E13" s="87">
        <f t="shared" si="0"/>
        <v>5000</v>
      </c>
      <c r="F13" s="88">
        <f t="shared" si="1"/>
        <v>1.0391</v>
      </c>
      <c r="H13" s="118"/>
    </row>
    <row r="14" spans="1:8" ht="31.5" customHeight="1">
      <c r="A14" s="40" t="s">
        <v>6</v>
      </c>
      <c r="B14" s="100" t="s">
        <v>176</v>
      </c>
      <c r="C14" s="110">
        <v>56900</v>
      </c>
      <c r="D14" s="36">
        <f>C14+2000</f>
        <v>58900</v>
      </c>
      <c r="E14" s="87">
        <f t="shared" si="0"/>
        <v>2000</v>
      </c>
      <c r="F14" s="88">
        <f t="shared" si="1"/>
        <v>1.0351</v>
      </c>
      <c r="H14" s="118"/>
    </row>
    <row r="15" spans="1:8" ht="31.5" customHeight="1">
      <c r="A15" s="40" t="s">
        <v>7</v>
      </c>
      <c r="B15" s="100" t="s">
        <v>175</v>
      </c>
      <c r="C15" s="110">
        <v>36300</v>
      </c>
      <c r="D15" s="36">
        <f>C15+1100</f>
        <v>37400</v>
      </c>
      <c r="E15" s="87">
        <f>IF(C15=D15,"-",D15-C15)</f>
        <v>1100</v>
      </c>
      <c r="F15" s="88">
        <f>IF(C15=0,"-",D15/C15)</f>
        <v>1.0303</v>
      </c>
      <c r="H15" s="118"/>
    </row>
    <row r="16" spans="1:8" ht="31.5" customHeight="1">
      <c r="A16" s="40" t="s">
        <v>8</v>
      </c>
      <c r="B16" s="100" t="s">
        <v>168</v>
      </c>
      <c r="C16" s="110">
        <v>151500</v>
      </c>
      <c r="D16" s="36">
        <f>C16</f>
        <v>151500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10">
        <v>45350</v>
      </c>
      <c r="D17" s="36">
        <f>C17</f>
        <v>45350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10">
        <v>2500</v>
      </c>
      <c r="D18" s="36">
        <f>C18</f>
        <v>2500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10">
        <v>9000</v>
      </c>
      <c r="D19" s="36">
        <f>C19+1000</f>
        <v>10000</v>
      </c>
      <c r="E19" s="87">
        <f t="shared" si="0"/>
        <v>1000</v>
      </c>
      <c r="F19" s="88">
        <f t="shared" si="1"/>
        <v>1.1111</v>
      </c>
      <c r="H19" s="118"/>
    </row>
    <row r="20" spans="1:8" ht="31.5" customHeight="1">
      <c r="A20" s="40" t="s">
        <v>12</v>
      </c>
      <c r="B20" s="100" t="s">
        <v>171</v>
      </c>
      <c r="C20" s="110">
        <v>121250</v>
      </c>
      <c r="D20" s="36">
        <f>C20+2000</f>
        <v>123250</v>
      </c>
      <c r="E20" s="87">
        <f t="shared" si="0"/>
        <v>2000</v>
      </c>
      <c r="F20" s="88">
        <f t="shared" si="1"/>
        <v>1.0165</v>
      </c>
      <c r="H20" s="118"/>
    </row>
    <row r="21" spans="1:8" ht="31.5" customHeight="1">
      <c r="A21" s="40" t="s">
        <v>14</v>
      </c>
      <c r="B21" s="46" t="s">
        <v>13</v>
      </c>
      <c r="C21" s="110">
        <v>48000</v>
      </c>
      <c r="D21" s="36">
        <f>C21+3000</f>
        <v>51000</v>
      </c>
      <c r="E21" s="87">
        <f t="shared" si="0"/>
        <v>3000</v>
      </c>
      <c r="F21" s="88">
        <f t="shared" si="1"/>
        <v>1.0625</v>
      </c>
      <c r="H21" s="118"/>
    </row>
    <row r="22" spans="1:8" ht="31.5" customHeight="1">
      <c r="A22" s="41" t="s">
        <v>15</v>
      </c>
      <c r="B22" s="100" t="s">
        <v>173</v>
      </c>
      <c r="C22" s="110">
        <v>629488</v>
      </c>
      <c r="D22" s="36">
        <f>C22+100512</f>
        <v>730000</v>
      </c>
      <c r="E22" s="87">
        <f t="shared" si="0"/>
        <v>100512</v>
      </c>
      <c r="F22" s="88">
        <f t="shared" si="1"/>
        <v>1.1597</v>
      </c>
      <c r="H22" s="118"/>
    </row>
    <row r="23" spans="1:8" ht="31.5" customHeight="1">
      <c r="A23" s="39" t="s">
        <v>178</v>
      </c>
      <c r="B23" s="45" t="s">
        <v>66</v>
      </c>
      <c r="C23" s="110">
        <v>1500</v>
      </c>
      <c r="D23" s="36">
        <f>C23</f>
        <v>1500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10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10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10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10">
        <v>8520</v>
      </c>
      <c r="D27" s="36">
        <f>C27+35980</f>
        <v>44500</v>
      </c>
      <c r="E27" s="87">
        <f>IF(C27=D27,"-",D27-C27)</f>
        <v>35980</v>
      </c>
      <c r="F27" s="88">
        <f>IF(C27=0,"-",D27/C27)</f>
        <v>5.223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36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137229</v>
      </c>
      <c r="D29" s="115">
        <v>137229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44621</v>
      </c>
      <c r="D30" s="34">
        <f>D31+D32+D33+D41+D42+D48+D49+D50+D47</f>
        <v>44621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2074</v>
      </c>
      <c r="D31" s="35">
        <f>C31</f>
        <v>2074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7206</v>
      </c>
      <c r="D32" s="35">
        <f>C32</f>
        <v>7206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327</v>
      </c>
      <c r="D33" s="35">
        <f>D34+D36+D37+D38+D39+D40</f>
        <v>327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41</v>
      </c>
      <c r="D34" s="35">
        <f>C34</f>
        <v>41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41</v>
      </c>
      <c r="D35" s="35">
        <f>C35</f>
        <v>41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aca="true" t="shared" si="3" ref="D36:D41">C36</f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223</v>
      </c>
      <c r="D39" s="35">
        <f t="shared" si="3"/>
        <v>223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63</v>
      </c>
      <c r="D40" s="35">
        <f t="shared" si="3"/>
        <v>63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21781</v>
      </c>
      <c r="D41" s="35">
        <f t="shared" si="3"/>
        <v>21781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4390</v>
      </c>
      <c r="D42" s="35">
        <f>SUM(D43:D46)</f>
        <v>4390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3309</v>
      </c>
      <c r="D43" s="35">
        <f aca="true" t="shared" si="4" ref="D43:D50">C43</f>
        <v>3309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534</v>
      </c>
      <c r="D44" s="35">
        <f t="shared" si="4"/>
        <v>534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547</v>
      </c>
      <c r="D46" s="35">
        <f t="shared" si="4"/>
        <v>547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2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8371</v>
      </c>
      <c r="D48" s="35">
        <f t="shared" si="4"/>
        <v>8371</v>
      </c>
      <c r="E48" s="87" t="str">
        <f t="shared" si="2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0</v>
      </c>
      <c r="D49" s="35">
        <f t="shared" si="4"/>
        <v>0</v>
      </c>
      <c r="E49" s="87" t="str">
        <f t="shared" si="2"/>
        <v>-</v>
      </c>
      <c r="F49" s="90" t="str">
        <f t="shared" si="5"/>
        <v>-</v>
      </c>
      <c r="H49" s="118"/>
    </row>
    <row r="50" spans="1:8" ht="33" customHeight="1">
      <c r="A50" s="42" t="s">
        <v>32</v>
      </c>
      <c r="B50" s="51" t="s">
        <v>33</v>
      </c>
      <c r="C50" s="92">
        <v>472</v>
      </c>
      <c r="D50" s="35">
        <f t="shared" si="4"/>
        <v>472</v>
      </c>
      <c r="E50" s="87" t="str">
        <f t="shared" si="2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23387</v>
      </c>
      <c r="D51" s="38">
        <f>SUM(D52:D55)</f>
        <v>23387</v>
      </c>
      <c r="E51" s="13" t="str">
        <f t="shared" si="2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1235</v>
      </c>
      <c r="D52" s="35">
        <f>C52</f>
        <v>1235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18707</v>
      </c>
      <c r="D53" s="35">
        <f>C53</f>
        <v>18707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3445</v>
      </c>
      <c r="D55" s="35">
        <f>C55</f>
        <v>3445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5259</v>
      </c>
      <c r="D56" s="38">
        <f>C56</f>
        <v>5259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86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2403078</v>
      </c>
      <c r="D7" s="16">
        <f>D8+D9+D10+D12+D13+D14+D15+D16+D17+D18+D19+D20+D21+D22+D24+D25+D26+D27</f>
        <v>2508464</v>
      </c>
      <c r="E7" s="13">
        <f>IF(C7=D7,"-",D7-C7)</f>
        <v>105386</v>
      </c>
      <c r="F7" s="86">
        <f>IF(C7=0,"-",D7/C7)</f>
        <v>1.044</v>
      </c>
      <c r="H7" s="118"/>
    </row>
    <row r="8" spans="1:8" ht="31.5" customHeight="1">
      <c r="A8" s="40" t="s">
        <v>1</v>
      </c>
      <c r="B8" s="100" t="s">
        <v>165</v>
      </c>
      <c r="C8" s="107">
        <v>334666</v>
      </c>
      <c r="D8" s="36">
        <f>C8</f>
        <v>334666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180240</v>
      </c>
      <c r="D9" s="36">
        <f>C9+4000</f>
        <v>184240</v>
      </c>
      <c r="E9" s="87">
        <f t="shared" si="0"/>
        <v>4000</v>
      </c>
      <c r="F9" s="88">
        <f t="shared" si="1"/>
        <v>1.0222</v>
      </c>
      <c r="H9" s="118"/>
    </row>
    <row r="10" spans="1:8" ht="31.5" customHeight="1">
      <c r="A10" s="40" t="s">
        <v>3</v>
      </c>
      <c r="B10" s="100" t="s">
        <v>157</v>
      </c>
      <c r="C10" s="107">
        <v>1143996</v>
      </c>
      <c r="D10" s="36">
        <f>C10+65986</f>
        <v>1209982</v>
      </c>
      <c r="E10" s="87">
        <f t="shared" si="0"/>
        <v>65986</v>
      </c>
      <c r="F10" s="88">
        <f t="shared" si="1"/>
        <v>1.0577</v>
      </c>
      <c r="H10" s="118"/>
    </row>
    <row r="11" spans="1:8" ht="31.5" customHeight="1">
      <c r="A11" s="101" t="s">
        <v>64</v>
      </c>
      <c r="B11" s="45" t="s">
        <v>65</v>
      </c>
      <c r="C11" s="107">
        <v>59718</v>
      </c>
      <c r="D11" s="36">
        <f>C11+8000</f>
        <v>67718</v>
      </c>
      <c r="E11" s="87">
        <f t="shared" si="0"/>
        <v>8000</v>
      </c>
      <c r="F11" s="88">
        <f t="shared" si="1"/>
        <v>1.134</v>
      </c>
      <c r="H11" s="118"/>
    </row>
    <row r="12" spans="1:8" ht="31.5" customHeight="1">
      <c r="A12" s="40" t="s">
        <v>4</v>
      </c>
      <c r="B12" s="100" t="s">
        <v>172</v>
      </c>
      <c r="C12" s="107">
        <v>80567</v>
      </c>
      <c r="D12" s="36">
        <f>C12+600</f>
        <v>81167</v>
      </c>
      <c r="E12" s="87">
        <f t="shared" si="0"/>
        <v>600</v>
      </c>
      <c r="F12" s="88">
        <f t="shared" si="1"/>
        <v>1.0074</v>
      </c>
      <c r="H12" s="118"/>
    </row>
    <row r="13" spans="1:8" ht="31.5" customHeight="1">
      <c r="A13" s="40" t="s">
        <v>5</v>
      </c>
      <c r="B13" s="100" t="s">
        <v>167</v>
      </c>
      <c r="C13" s="107">
        <v>65255</v>
      </c>
      <c r="D13" s="36">
        <f>C13+1100</f>
        <v>66355</v>
      </c>
      <c r="E13" s="87">
        <f t="shared" si="0"/>
        <v>1100</v>
      </c>
      <c r="F13" s="88">
        <f t="shared" si="1"/>
        <v>1.0169</v>
      </c>
      <c r="H13" s="118"/>
    </row>
    <row r="14" spans="1:8" ht="31.5" customHeight="1">
      <c r="A14" s="40" t="s">
        <v>6</v>
      </c>
      <c r="B14" s="100" t="s">
        <v>176</v>
      </c>
      <c r="C14" s="107">
        <v>35056</v>
      </c>
      <c r="D14" s="36">
        <f>C14+1000</f>
        <v>36056</v>
      </c>
      <c r="E14" s="87">
        <f t="shared" si="0"/>
        <v>1000</v>
      </c>
      <c r="F14" s="88">
        <f t="shared" si="1"/>
        <v>1.0285</v>
      </c>
      <c r="H14" s="118"/>
    </row>
    <row r="15" spans="1:8" ht="31.5" customHeight="1">
      <c r="A15" s="40" t="s">
        <v>7</v>
      </c>
      <c r="B15" s="100" t="s">
        <v>175</v>
      </c>
      <c r="C15" s="107">
        <v>7145</v>
      </c>
      <c r="D15" s="36">
        <f>C15+700</f>
        <v>7845</v>
      </c>
      <c r="E15" s="87">
        <f>IF(C15=D15,"-",D15-C15)</f>
        <v>700</v>
      </c>
      <c r="F15" s="88">
        <f>IF(C15=0,"-",D15/C15)</f>
        <v>1.098</v>
      </c>
      <c r="H15" s="118"/>
    </row>
    <row r="16" spans="1:8" ht="31.5" customHeight="1">
      <c r="A16" s="40" t="s">
        <v>8</v>
      </c>
      <c r="B16" s="100" t="s">
        <v>168</v>
      </c>
      <c r="C16" s="107">
        <v>85807</v>
      </c>
      <c r="D16" s="36">
        <f>C16</f>
        <v>85807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18123</v>
      </c>
      <c r="D17" s="36">
        <f>C17</f>
        <v>18123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1748</v>
      </c>
      <c r="D18" s="36">
        <f>C18</f>
        <v>1748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6680</v>
      </c>
      <c r="D19" s="36">
        <f>C19+1000</f>
        <v>7680</v>
      </c>
      <c r="E19" s="87">
        <f t="shared" si="0"/>
        <v>1000</v>
      </c>
      <c r="F19" s="88">
        <f t="shared" si="1"/>
        <v>1.1497</v>
      </c>
      <c r="H19" s="118"/>
    </row>
    <row r="20" spans="1:8" ht="31.5" customHeight="1">
      <c r="A20" s="40" t="s">
        <v>12</v>
      </c>
      <c r="B20" s="100" t="s">
        <v>171</v>
      </c>
      <c r="C20" s="107">
        <v>56398</v>
      </c>
      <c r="D20" s="36">
        <f>C20+3500</f>
        <v>59898</v>
      </c>
      <c r="E20" s="87">
        <f t="shared" si="0"/>
        <v>3500</v>
      </c>
      <c r="F20" s="88">
        <f t="shared" si="1"/>
        <v>1.0621</v>
      </c>
      <c r="H20" s="118"/>
    </row>
    <row r="21" spans="1:8" ht="31.5" customHeight="1">
      <c r="A21" s="40" t="s">
        <v>14</v>
      </c>
      <c r="B21" s="46" t="s">
        <v>13</v>
      </c>
      <c r="C21" s="107">
        <v>25373</v>
      </c>
      <c r="D21" s="36">
        <f>C21</f>
        <v>25373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359520</v>
      </c>
      <c r="D22" s="36">
        <f>C22+20000</f>
        <v>379520</v>
      </c>
      <c r="E22" s="87">
        <f t="shared" si="0"/>
        <v>20000</v>
      </c>
      <c r="F22" s="88">
        <f t="shared" si="1"/>
        <v>1.0556</v>
      </c>
      <c r="H22" s="118"/>
    </row>
    <row r="23" spans="1:8" ht="31.5" customHeight="1">
      <c r="A23" s="39" t="s">
        <v>178</v>
      </c>
      <c r="B23" s="45" t="s">
        <v>66</v>
      </c>
      <c r="C23" s="107">
        <v>709</v>
      </c>
      <c r="D23" s="36">
        <f>C23</f>
        <v>709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2504</v>
      </c>
      <c r="D27" s="36">
        <f>C27+7500</f>
        <v>10004</v>
      </c>
      <c r="E27" s="87">
        <f>IF(C27=D27,"-",D27-C27)</f>
        <v>7500</v>
      </c>
      <c r="F27" s="88">
        <f>IF(C27=0,"-",D27/C27)</f>
        <v>3.9952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93966</v>
      </c>
      <c r="D29" s="115">
        <v>93966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21867</v>
      </c>
      <c r="D30" s="34">
        <f>D31+D32+D33+D41+D42+D48+D49+D50+D47</f>
        <v>21867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830</v>
      </c>
      <c r="D31" s="35">
        <f>C31</f>
        <v>830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2095</v>
      </c>
      <c r="D32" s="35">
        <f>C32</f>
        <v>2095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v>208</v>
      </c>
      <c r="D33" s="35">
        <f>D34+D36+D37+D38+D39+D40</f>
        <v>208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24</v>
      </c>
      <c r="D34" s="35">
        <f aca="true" t="shared" si="3" ref="D34:D41">C34</f>
        <v>24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24</v>
      </c>
      <c r="D35" s="35">
        <f t="shared" si="3"/>
        <v>24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6</v>
      </c>
      <c r="D36" s="35">
        <f t="shared" si="3"/>
        <v>6</v>
      </c>
      <c r="E36" s="87" t="str">
        <f t="shared" si="2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158</v>
      </c>
      <c r="D39" s="35">
        <f t="shared" si="3"/>
        <v>158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20</v>
      </c>
      <c r="D40" s="35">
        <f t="shared" si="3"/>
        <v>20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12134</v>
      </c>
      <c r="D41" s="35">
        <f t="shared" si="3"/>
        <v>12134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v>2453</v>
      </c>
      <c r="D42" s="106">
        <f>D43+D44+D45+D46</f>
        <v>2453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1843</v>
      </c>
      <c r="D43" s="35">
        <f aca="true" t="shared" si="4" ref="D43:D50">C43</f>
        <v>1843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297</v>
      </c>
      <c r="D44" s="35">
        <f t="shared" si="4"/>
        <v>297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313</v>
      </c>
      <c r="D46" s="35">
        <f t="shared" si="4"/>
        <v>313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2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3758</v>
      </c>
      <c r="D48" s="35">
        <f t="shared" si="4"/>
        <v>3758</v>
      </c>
      <c r="E48" s="87" t="str">
        <f t="shared" si="2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209</v>
      </c>
      <c r="D49" s="35">
        <f t="shared" si="4"/>
        <v>209</v>
      </c>
      <c r="E49" s="87" t="str">
        <f t="shared" si="2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180</v>
      </c>
      <c r="D50" s="35">
        <f t="shared" si="4"/>
        <v>180</v>
      </c>
      <c r="E50" s="87" t="str">
        <f t="shared" si="2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9565</v>
      </c>
      <c r="D51" s="38">
        <f>SUM(D52:D55)</f>
        <v>9565</v>
      </c>
      <c r="E51" s="13" t="str">
        <f t="shared" si="2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15</v>
      </c>
      <c r="D52" s="35">
        <f>C52+5</f>
        <v>20</v>
      </c>
      <c r="E52" s="92">
        <f>IF(C52=D52,"-",D52-C52)</f>
        <v>5</v>
      </c>
      <c r="F52" s="98">
        <f t="shared" si="5"/>
        <v>1.3333</v>
      </c>
      <c r="H52" s="118"/>
    </row>
    <row r="53" spans="1:8" ht="31.5" customHeight="1">
      <c r="A53" s="42" t="s">
        <v>35</v>
      </c>
      <c r="B53" s="51" t="s">
        <v>63</v>
      </c>
      <c r="C53" s="92">
        <v>9330</v>
      </c>
      <c r="D53" s="35">
        <f>C53</f>
        <v>9330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220</v>
      </c>
      <c r="D55" s="35">
        <f>C55-5</f>
        <v>215</v>
      </c>
      <c r="E55" s="92">
        <f>IF(C55=D55,"-",D55-C55)</f>
        <v>-5</v>
      </c>
      <c r="F55" s="98">
        <f t="shared" si="5"/>
        <v>0.9773</v>
      </c>
      <c r="H55" s="118"/>
    </row>
    <row r="56" spans="1:8" ht="32.25" customHeight="1">
      <c r="A56" s="44" t="s">
        <v>127</v>
      </c>
      <c r="B56" s="56" t="s">
        <v>154</v>
      </c>
      <c r="C56" s="109">
        <v>18</v>
      </c>
      <c r="D56" s="38">
        <f>C56</f>
        <v>18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="49" zoomScaleNormal="49" zoomScaleSheetLayoutView="55" zoomScalePageLayoutView="0" workbookViewId="0" topLeftCell="A34">
      <selection activeCell="P67" sqref="P67"/>
    </sheetView>
  </sheetViews>
  <sheetFormatPr defaultColWidth="9.00390625" defaultRowHeight="12.75"/>
  <cols>
    <col min="1" max="1" width="9.125" style="2" customWidth="1"/>
    <col min="2" max="2" width="127.25390625" style="2" customWidth="1"/>
    <col min="3" max="4" width="24.75390625" style="2" customWidth="1"/>
    <col min="5" max="6" width="20.75390625" style="2" customWidth="1"/>
    <col min="7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89</v>
      </c>
      <c r="B2" s="156"/>
      <c r="C2" s="156"/>
    </row>
    <row r="3" spans="1:6" ht="33" customHeight="1">
      <c r="A3" s="1"/>
      <c r="B3" s="85"/>
      <c r="D3" s="30"/>
      <c r="E3" s="30"/>
      <c r="F3" s="30" t="s">
        <v>90</v>
      </c>
    </row>
    <row r="4" spans="1:6" s="6" customFormat="1" ht="33" customHeight="1">
      <c r="A4" s="157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427230</v>
      </c>
      <c r="D7" s="16">
        <f>D8+D9+D10+D12+D13+D14+D15+D16+D17+D18+D19+D20+D21+D22+D24+D25+D26+D27</f>
        <v>427230</v>
      </c>
      <c r="E7" s="13" t="str">
        <f>IF(C7=D7,"-",D7-C7)</f>
        <v>-</v>
      </c>
      <c r="F7" s="86">
        <f>IF(C7=0,"-",D7/C7)</f>
        <v>1</v>
      </c>
    </row>
    <row r="8" spans="1:6" ht="31.5" customHeight="1">
      <c r="A8" s="40" t="s">
        <v>1</v>
      </c>
      <c r="B8" s="46" t="s">
        <v>165</v>
      </c>
      <c r="C8" s="36">
        <v>0</v>
      </c>
      <c r="D8" s="36">
        <f>C8</f>
        <v>0</v>
      </c>
      <c r="E8" s="87" t="str">
        <f aca="true" t="shared" si="0" ref="E8:E29">IF(C8=D8,"-",D8-C8)</f>
        <v>-</v>
      </c>
      <c r="F8" s="88" t="str">
        <f aca="true" t="shared" si="1" ref="F8:F46">IF(C8=0,"-",D8/C8)</f>
        <v>-</v>
      </c>
    </row>
    <row r="9" spans="1:16" ht="31.5" customHeight="1">
      <c r="A9" s="40" t="s">
        <v>2</v>
      </c>
      <c r="B9" s="46" t="s">
        <v>166</v>
      </c>
      <c r="C9" s="36">
        <v>0</v>
      </c>
      <c r="D9" s="36">
        <f aca="true" t="shared" si="2" ref="D9:D29">C9</f>
        <v>0</v>
      </c>
      <c r="E9" s="87" t="str">
        <f t="shared" si="0"/>
        <v>-</v>
      </c>
      <c r="F9" s="88" t="str">
        <f t="shared" si="1"/>
        <v>-</v>
      </c>
      <c r="N9" s="131"/>
      <c r="P9" s="130"/>
    </row>
    <row r="10" spans="1:16" ht="31.5" customHeight="1">
      <c r="A10" s="40" t="s">
        <v>3</v>
      </c>
      <c r="B10" s="46" t="s">
        <v>157</v>
      </c>
      <c r="C10" s="36">
        <v>0</v>
      </c>
      <c r="D10" s="36">
        <f t="shared" si="2"/>
        <v>0</v>
      </c>
      <c r="E10" s="87" t="str">
        <f t="shared" si="0"/>
        <v>-</v>
      </c>
      <c r="F10" s="88" t="str">
        <f t="shared" si="1"/>
        <v>-</v>
      </c>
      <c r="P10" s="130"/>
    </row>
    <row r="11" spans="1:16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7" t="str">
        <f t="shared" si="0"/>
        <v>-</v>
      </c>
      <c r="F11" s="88" t="str">
        <f t="shared" si="1"/>
        <v>-</v>
      </c>
      <c r="P11" s="130"/>
    </row>
    <row r="12" spans="1:16" ht="31.5" customHeight="1">
      <c r="A12" s="40" t="s">
        <v>4</v>
      </c>
      <c r="B12" s="46" t="s">
        <v>172</v>
      </c>
      <c r="C12" s="36">
        <v>0</v>
      </c>
      <c r="D12" s="36">
        <f t="shared" si="2"/>
        <v>0</v>
      </c>
      <c r="E12" s="87" t="str">
        <f t="shared" si="0"/>
        <v>-</v>
      </c>
      <c r="F12" s="88" t="str">
        <f t="shared" si="1"/>
        <v>-</v>
      </c>
      <c r="P12" s="130"/>
    </row>
    <row r="13" spans="1:16" ht="31.5" customHeight="1">
      <c r="A13" s="40" t="s">
        <v>5</v>
      </c>
      <c r="B13" s="46" t="s">
        <v>167</v>
      </c>
      <c r="C13" s="36">
        <v>0</v>
      </c>
      <c r="D13" s="36">
        <f t="shared" si="2"/>
        <v>0</v>
      </c>
      <c r="E13" s="87" t="str">
        <f t="shared" si="0"/>
        <v>-</v>
      </c>
      <c r="F13" s="88" t="str">
        <f t="shared" si="1"/>
        <v>-</v>
      </c>
      <c r="P13" s="130"/>
    </row>
    <row r="14" spans="1:16" ht="31.5" customHeight="1">
      <c r="A14" s="40" t="s">
        <v>6</v>
      </c>
      <c r="B14" s="46" t="s">
        <v>176</v>
      </c>
      <c r="C14" s="36">
        <v>0</v>
      </c>
      <c r="D14" s="36">
        <f t="shared" si="2"/>
        <v>0</v>
      </c>
      <c r="E14" s="87" t="str">
        <f t="shared" si="0"/>
        <v>-</v>
      </c>
      <c r="F14" s="88" t="str">
        <f t="shared" si="1"/>
        <v>-</v>
      </c>
      <c r="P14" s="130"/>
    </row>
    <row r="15" spans="1:16" ht="31.5" customHeight="1">
      <c r="A15" s="40" t="s">
        <v>7</v>
      </c>
      <c r="B15" s="46" t="s">
        <v>175</v>
      </c>
      <c r="C15" s="36">
        <v>0</v>
      </c>
      <c r="D15" s="36">
        <f>C15</f>
        <v>0</v>
      </c>
      <c r="E15" s="87" t="str">
        <f>IF(C15=D15,"-",D15-C15)</f>
        <v>-</v>
      </c>
      <c r="F15" s="88" t="str">
        <f>IF(C15=0,"-",D15/C15)</f>
        <v>-</v>
      </c>
      <c r="P15" s="130"/>
    </row>
    <row r="16" spans="1:16" ht="31.5" customHeight="1">
      <c r="A16" s="40" t="s">
        <v>8</v>
      </c>
      <c r="B16" s="100" t="s">
        <v>168</v>
      </c>
      <c r="C16" s="36">
        <v>0</v>
      </c>
      <c r="D16" s="36">
        <f t="shared" si="2"/>
        <v>0</v>
      </c>
      <c r="E16" s="87" t="str">
        <f t="shared" si="0"/>
        <v>-</v>
      </c>
      <c r="F16" s="88" t="str">
        <f t="shared" si="1"/>
        <v>-</v>
      </c>
      <c r="P16" s="130"/>
    </row>
    <row r="17" spans="1:16" ht="31.5" customHeight="1">
      <c r="A17" s="40" t="s">
        <v>9</v>
      </c>
      <c r="B17" s="46" t="s">
        <v>169</v>
      </c>
      <c r="C17" s="36">
        <v>0</v>
      </c>
      <c r="D17" s="36">
        <f t="shared" si="2"/>
        <v>0</v>
      </c>
      <c r="E17" s="87" t="str">
        <f t="shared" si="0"/>
        <v>-</v>
      </c>
      <c r="F17" s="88" t="str">
        <f t="shared" si="1"/>
        <v>-</v>
      </c>
      <c r="P17" s="130"/>
    </row>
    <row r="18" spans="1:16" ht="31.5" customHeight="1">
      <c r="A18" s="40" t="s">
        <v>10</v>
      </c>
      <c r="B18" s="46" t="s">
        <v>177</v>
      </c>
      <c r="C18" s="36">
        <v>0</v>
      </c>
      <c r="D18" s="36">
        <f t="shared" si="2"/>
        <v>0</v>
      </c>
      <c r="E18" s="87" t="str">
        <f t="shared" si="0"/>
        <v>-</v>
      </c>
      <c r="F18" s="88" t="str">
        <f t="shared" si="1"/>
        <v>-</v>
      </c>
      <c r="P18" s="130"/>
    </row>
    <row r="19" spans="1:16" ht="46.5" customHeight="1">
      <c r="A19" s="40" t="s">
        <v>11</v>
      </c>
      <c r="B19" s="46" t="s">
        <v>170</v>
      </c>
      <c r="C19" s="36">
        <v>0</v>
      </c>
      <c r="D19" s="36">
        <f t="shared" si="2"/>
        <v>0</v>
      </c>
      <c r="E19" s="87" t="str">
        <f t="shared" si="0"/>
        <v>-</v>
      </c>
      <c r="F19" s="88" t="str">
        <f t="shared" si="1"/>
        <v>-</v>
      </c>
      <c r="P19" s="130"/>
    </row>
    <row r="20" spans="1:16" ht="31.5" customHeight="1">
      <c r="A20" s="40" t="s">
        <v>12</v>
      </c>
      <c r="B20" s="46" t="s">
        <v>171</v>
      </c>
      <c r="C20" s="36">
        <v>0</v>
      </c>
      <c r="D20" s="36">
        <f t="shared" si="2"/>
        <v>0</v>
      </c>
      <c r="E20" s="87" t="str">
        <f t="shared" si="0"/>
        <v>-</v>
      </c>
      <c r="F20" s="88" t="str">
        <f t="shared" si="1"/>
        <v>-</v>
      </c>
      <c r="P20" s="130"/>
    </row>
    <row r="21" spans="1:6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7" t="str">
        <f t="shared" si="0"/>
        <v>-</v>
      </c>
      <c r="F21" s="88" t="str">
        <f t="shared" si="1"/>
        <v>-</v>
      </c>
    </row>
    <row r="22" spans="1:6" ht="31.5" customHeight="1">
      <c r="A22" s="41" t="s">
        <v>15</v>
      </c>
      <c r="B22" s="100" t="s">
        <v>173</v>
      </c>
      <c r="C22" s="36">
        <v>0</v>
      </c>
      <c r="D22" s="36">
        <f t="shared" si="2"/>
        <v>0</v>
      </c>
      <c r="E22" s="87" t="str">
        <f t="shared" si="0"/>
        <v>-</v>
      </c>
      <c r="F22" s="88" t="str">
        <f t="shared" si="1"/>
        <v>-</v>
      </c>
    </row>
    <row r="23" spans="1:6" ht="31.5" customHeight="1">
      <c r="A23" s="39" t="s">
        <v>178</v>
      </c>
      <c r="B23" s="45" t="s">
        <v>66</v>
      </c>
      <c r="C23" s="36">
        <v>0</v>
      </c>
      <c r="D23" s="36">
        <f t="shared" si="2"/>
        <v>0</v>
      </c>
      <c r="E23" s="87" t="str">
        <f t="shared" si="0"/>
        <v>-</v>
      </c>
      <c r="F23" s="88" t="str">
        <f t="shared" si="1"/>
        <v>-</v>
      </c>
    </row>
    <row r="24" spans="1:6" ht="33" customHeight="1">
      <c r="A24" s="42" t="s">
        <v>16</v>
      </c>
      <c r="B24" s="47" t="s">
        <v>140</v>
      </c>
      <c r="C24" s="36">
        <v>416230</v>
      </c>
      <c r="D24" s="36">
        <f>C24</f>
        <v>416230</v>
      </c>
      <c r="E24" s="87" t="str">
        <f>IF(C24=D24,"-",D24-C24)</f>
        <v>-</v>
      </c>
      <c r="F24" s="88">
        <f>IF(C24=0,"-",D24/C24)</f>
        <v>1</v>
      </c>
    </row>
    <row r="25" spans="1:6" ht="33" customHeight="1">
      <c r="A25" s="42" t="s">
        <v>137</v>
      </c>
      <c r="B25" s="48" t="s">
        <v>60</v>
      </c>
      <c r="C25" s="112">
        <v>11000</v>
      </c>
      <c r="D25" s="36">
        <f>C25</f>
        <v>11000</v>
      </c>
      <c r="E25" s="87" t="str">
        <f>IF(C25=D25,"-",D25-C25)</f>
        <v>-</v>
      </c>
      <c r="F25" s="88">
        <f>IF(C25=0,"-",D25/C25)</f>
        <v>1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</row>
    <row r="27" spans="1:6" ht="33" customHeight="1">
      <c r="A27" s="42" t="s">
        <v>139</v>
      </c>
      <c r="B27" s="51" t="s">
        <v>142</v>
      </c>
      <c r="C27" s="36">
        <v>0</v>
      </c>
      <c r="D27" s="36">
        <f t="shared" si="2"/>
        <v>0</v>
      </c>
      <c r="E27" s="87" t="str">
        <f>IF(C27=D27,"-",D27-C27)</f>
        <v>-</v>
      </c>
      <c r="F27" s="88" t="str">
        <f>IF(C27=0,"-",D27/C27)</f>
        <v>-</v>
      </c>
    </row>
    <row r="28" spans="1:6" s="5" customFormat="1" ht="31.5" customHeight="1">
      <c r="A28" s="43" t="s">
        <v>68</v>
      </c>
      <c r="B28" s="49" t="s">
        <v>69</v>
      </c>
      <c r="C28" s="113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4">
        <v>0</v>
      </c>
      <c r="D29" s="115">
        <f t="shared" si="2"/>
        <v>0</v>
      </c>
      <c r="E29" s="15" t="str">
        <f t="shared" si="0"/>
        <v>-</v>
      </c>
      <c r="F29" s="116" t="str">
        <f t="shared" si="1"/>
        <v>-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180874</v>
      </c>
      <c r="D30" s="34">
        <f>D31+D32+D33+D41+D42+D48+D49+D50+D47</f>
        <v>180874</v>
      </c>
      <c r="E30" s="13" t="str">
        <f>IF(C30=D30,"-",D30-C30)</f>
        <v>-</v>
      </c>
      <c r="F30" s="89">
        <f t="shared" si="1"/>
        <v>1</v>
      </c>
    </row>
    <row r="31" spans="1:6" ht="28.5" customHeight="1">
      <c r="A31" s="42" t="s">
        <v>19</v>
      </c>
      <c r="B31" s="51" t="s">
        <v>20</v>
      </c>
      <c r="C31" s="35">
        <v>3149</v>
      </c>
      <c r="D31" s="35">
        <f>C31</f>
        <v>3149</v>
      </c>
      <c r="E31" s="87" t="str">
        <f aca="true" t="shared" si="3" ref="E31:E51">IF(C31=D31,"-",D31-C31)</f>
        <v>-</v>
      </c>
      <c r="F31" s="88">
        <f t="shared" si="1"/>
        <v>1</v>
      </c>
    </row>
    <row r="32" spans="1:6" ht="28.5" customHeight="1">
      <c r="A32" s="42" t="s">
        <v>21</v>
      </c>
      <c r="B32" s="51" t="s">
        <v>22</v>
      </c>
      <c r="C32" s="35">
        <v>77920</v>
      </c>
      <c r="D32" s="35">
        <f>C32</f>
        <v>77920</v>
      </c>
      <c r="E32" s="87" t="str">
        <f t="shared" si="3"/>
        <v>-</v>
      </c>
      <c r="F32" s="88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v>370</v>
      </c>
      <c r="D33" s="35">
        <f>D34+D36+D37+D38+D39+D40</f>
        <v>370</v>
      </c>
      <c r="E33" s="87" t="str">
        <f t="shared" si="3"/>
        <v>-</v>
      </c>
      <c r="F33" s="88">
        <f t="shared" si="1"/>
        <v>1</v>
      </c>
    </row>
    <row r="34" spans="1:6" ht="28.5" customHeight="1">
      <c r="A34" s="53" t="s">
        <v>45</v>
      </c>
      <c r="B34" s="54" t="s">
        <v>38</v>
      </c>
      <c r="C34" s="35">
        <v>31</v>
      </c>
      <c r="D34" s="35">
        <f aca="true" t="shared" si="4" ref="D34:D50">C34</f>
        <v>31</v>
      </c>
      <c r="E34" s="87" t="str">
        <f t="shared" si="3"/>
        <v>-</v>
      </c>
      <c r="F34" s="88">
        <f t="shared" si="1"/>
        <v>1</v>
      </c>
    </row>
    <row r="35" spans="1:6" ht="28.5" customHeight="1">
      <c r="A35" s="53" t="s">
        <v>46</v>
      </c>
      <c r="B35" s="55" t="s">
        <v>39</v>
      </c>
      <c r="C35" s="35">
        <v>31</v>
      </c>
      <c r="D35" s="35">
        <f t="shared" si="4"/>
        <v>31</v>
      </c>
      <c r="E35" s="87" t="str">
        <f t="shared" si="3"/>
        <v>-</v>
      </c>
      <c r="F35" s="88">
        <f t="shared" si="1"/>
        <v>1</v>
      </c>
    </row>
    <row r="36" spans="1:6" ht="28.5" customHeight="1">
      <c r="A36" s="53" t="s">
        <v>47</v>
      </c>
      <c r="B36" s="54" t="s">
        <v>40</v>
      </c>
      <c r="C36" s="35">
        <v>27</v>
      </c>
      <c r="D36" s="35">
        <f t="shared" si="4"/>
        <v>27</v>
      </c>
      <c r="E36" s="87" t="str">
        <f t="shared" si="3"/>
        <v>-</v>
      </c>
      <c r="F36" s="88">
        <f t="shared" si="1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</row>
    <row r="39" spans="1:6" ht="28.5" customHeight="1">
      <c r="A39" s="53" t="s">
        <v>50</v>
      </c>
      <c r="B39" s="54" t="s">
        <v>43</v>
      </c>
      <c r="C39" s="35">
        <v>309</v>
      </c>
      <c r="D39" s="35">
        <f t="shared" si="4"/>
        <v>309</v>
      </c>
      <c r="E39" s="87" t="str">
        <f t="shared" si="3"/>
        <v>-</v>
      </c>
      <c r="F39" s="88">
        <f t="shared" si="1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7" t="str">
        <f t="shared" si="3"/>
        <v>-</v>
      </c>
      <c r="F40" s="88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30855</v>
      </c>
      <c r="D41" s="35">
        <f t="shared" si="4"/>
        <v>30855</v>
      </c>
      <c r="E41" s="87" t="str">
        <f t="shared" si="3"/>
        <v>-</v>
      </c>
      <c r="F41" s="88">
        <f t="shared" si="1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7215</v>
      </c>
      <c r="D42" s="35">
        <f>SUM(D43:D46)</f>
        <v>7215</v>
      </c>
      <c r="E42" s="87" t="str">
        <f t="shared" si="3"/>
        <v>-</v>
      </c>
      <c r="F42" s="88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4688</v>
      </c>
      <c r="D43" s="35">
        <f t="shared" si="4"/>
        <v>4688</v>
      </c>
      <c r="E43" s="87" t="str">
        <f t="shared" si="3"/>
        <v>-</v>
      </c>
      <c r="F43" s="88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757</v>
      </c>
      <c r="D44" s="35">
        <f t="shared" si="4"/>
        <v>757</v>
      </c>
      <c r="E44" s="87" t="str">
        <f t="shared" si="3"/>
        <v>-</v>
      </c>
      <c r="F44" s="88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1770</v>
      </c>
      <c r="D46" s="35">
        <f t="shared" si="4"/>
        <v>1770</v>
      </c>
      <c r="E46" s="87" t="str">
        <f t="shared" si="3"/>
        <v>-</v>
      </c>
      <c r="F46" s="88">
        <f t="shared" si="1"/>
        <v>1</v>
      </c>
    </row>
    <row r="47" spans="1:6" ht="28.5" customHeight="1">
      <c r="A47" s="42" t="s">
        <v>27</v>
      </c>
      <c r="B47" s="51" t="s">
        <v>28</v>
      </c>
      <c r="C47" s="35">
        <v>200</v>
      </c>
      <c r="D47" s="35">
        <f t="shared" si="4"/>
        <v>200</v>
      </c>
      <c r="E47" s="87" t="str">
        <f t="shared" si="3"/>
        <v>-</v>
      </c>
      <c r="F47" s="88">
        <f aca="true" t="shared" si="5" ref="F47:F56">IF(C47=0,"-",D47/C47)</f>
        <v>1</v>
      </c>
    </row>
    <row r="48" spans="1:6" ht="48" customHeight="1">
      <c r="A48" s="42" t="s">
        <v>29</v>
      </c>
      <c r="B48" s="51" t="s">
        <v>116</v>
      </c>
      <c r="C48" s="112">
        <v>58991</v>
      </c>
      <c r="D48" s="35">
        <f t="shared" si="4"/>
        <v>58991</v>
      </c>
      <c r="E48" s="87" t="str">
        <f t="shared" si="3"/>
        <v>-</v>
      </c>
      <c r="F48" s="90">
        <f t="shared" si="5"/>
        <v>1</v>
      </c>
    </row>
    <row r="49" spans="1:6" ht="43.5" customHeight="1">
      <c r="A49" s="42" t="s">
        <v>30</v>
      </c>
      <c r="B49" s="51" t="s">
        <v>31</v>
      </c>
      <c r="C49" s="112">
        <v>582</v>
      </c>
      <c r="D49" s="35">
        <f t="shared" si="4"/>
        <v>582</v>
      </c>
      <c r="E49" s="87" t="str">
        <f t="shared" si="3"/>
        <v>-</v>
      </c>
      <c r="F49" s="90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1592</v>
      </c>
      <c r="D50" s="35">
        <f t="shared" si="4"/>
        <v>1592</v>
      </c>
      <c r="E50" s="87" t="str">
        <f t="shared" si="3"/>
        <v>-</v>
      </c>
      <c r="F50" s="88">
        <f t="shared" si="5"/>
        <v>1</v>
      </c>
    </row>
    <row r="51" spans="1:6" s="3" customFormat="1" ht="30" customHeight="1">
      <c r="A51" s="44" t="s">
        <v>34</v>
      </c>
      <c r="B51" s="56" t="s">
        <v>174</v>
      </c>
      <c r="C51" s="38">
        <f>SUM(C52:C55)</f>
        <v>81482</v>
      </c>
      <c r="D51" s="38">
        <f>SUM(D52:D55)</f>
        <v>81482</v>
      </c>
      <c r="E51" s="13" t="str">
        <f t="shared" si="3"/>
        <v>-</v>
      </c>
      <c r="F51" s="105">
        <f t="shared" si="5"/>
        <v>1</v>
      </c>
    </row>
    <row r="52" spans="1:6" ht="42" customHeight="1">
      <c r="A52" s="42" t="s">
        <v>119</v>
      </c>
      <c r="B52" s="51" t="s">
        <v>144</v>
      </c>
      <c r="C52" s="35">
        <f>80000+610</f>
        <v>80610</v>
      </c>
      <c r="D52" s="35">
        <f>C52</f>
        <v>80610</v>
      </c>
      <c r="E52" s="92" t="str">
        <f>IF(C52=D52,"-",D52-C52)</f>
        <v>-</v>
      </c>
      <c r="F52" s="88">
        <f t="shared" si="5"/>
        <v>1</v>
      </c>
    </row>
    <row r="53" spans="1:6" ht="31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2" t="str">
        <f>IF(C53=D53,"-",D53-C53)</f>
        <v>-</v>
      </c>
      <c r="F53" s="88">
        <f t="shared" si="5"/>
        <v>1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2" t="str">
        <f>IF(C54=D54,"-",D54-C54)</f>
        <v>-</v>
      </c>
      <c r="F54" s="88" t="str">
        <f t="shared" si="5"/>
        <v>-</v>
      </c>
    </row>
    <row r="55" spans="1:6" ht="31.5" customHeight="1">
      <c r="A55" s="42" t="s">
        <v>120</v>
      </c>
      <c r="B55" s="51" t="s">
        <v>122</v>
      </c>
      <c r="C55" s="106">
        <v>272</v>
      </c>
      <c r="D55" s="35">
        <f>C55</f>
        <v>272</v>
      </c>
      <c r="E55" s="92" t="str">
        <f>IF(C55=D55,"-",D55-C55)</f>
        <v>-</v>
      </c>
      <c r="F55" s="88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30126</v>
      </c>
      <c r="D56" s="38">
        <f>C56</f>
        <v>30126</v>
      </c>
      <c r="E56" s="13" t="str">
        <f>IF(C56=D56,"-",D56-C56)</f>
        <v>-</v>
      </c>
      <c r="F56" s="91">
        <f t="shared" si="5"/>
        <v>1</v>
      </c>
    </row>
    <row r="74" ht="12.75">
      <c r="D74" s="2" t="s">
        <v>202</v>
      </c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70" zoomScalePageLayoutView="0" workbookViewId="0" topLeftCell="A1">
      <pane xSplit="2" ySplit="1" topLeftCell="C17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93.125" style="2" customWidth="1"/>
    <col min="3" max="3" width="12.00390625" style="2" hidden="1" customWidth="1"/>
    <col min="4" max="4" width="16.25390625" style="141" customWidth="1"/>
    <col min="5" max="20" width="13.875" style="2" customWidth="1"/>
    <col min="21" max="16384" width="9.125" style="2" customWidth="1"/>
  </cols>
  <sheetData>
    <row r="1" spans="1:18" s="59" customFormat="1" ht="23.25" customHeight="1">
      <c r="A1" s="159" t="str">
        <f>NFZ!A1</f>
        <v>ZMIANA PLANU FINANSOWEGO NARODOWEGO FUNDUSZU ZDROWIA NA 2010 ROK Z 6 LIPCA 2010 R.</v>
      </c>
      <c r="B1" s="159"/>
      <c r="C1" s="144"/>
      <c r="D1" s="144"/>
      <c r="E1" s="144"/>
      <c r="F1" s="144"/>
      <c r="R1" s="59" t="s">
        <v>202</v>
      </c>
    </row>
    <row r="2" spans="1:3" s="60" customFormat="1" ht="22.5">
      <c r="A2" s="159"/>
      <c r="B2" s="159"/>
      <c r="C2" s="119"/>
    </row>
    <row r="3" spans="1:6" ht="24.75">
      <c r="A3" s="1"/>
      <c r="B3" s="85"/>
      <c r="C3" s="30"/>
      <c r="D3" s="30"/>
      <c r="E3" s="30"/>
      <c r="F3" s="30"/>
    </row>
    <row r="4" spans="1:20" s="122" customFormat="1" ht="144.75">
      <c r="A4" s="120" t="s">
        <v>164</v>
      </c>
      <c r="B4" s="120" t="s">
        <v>62</v>
      </c>
      <c r="C4" s="121" t="s">
        <v>203</v>
      </c>
      <c r="D4" s="121" t="s">
        <v>204</v>
      </c>
      <c r="E4" s="121" t="s">
        <v>205</v>
      </c>
      <c r="F4" s="121" t="s">
        <v>206</v>
      </c>
      <c r="G4" s="128" t="s">
        <v>207</v>
      </c>
      <c r="H4" s="121" t="s">
        <v>208</v>
      </c>
      <c r="I4" s="121" t="s">
        <v>209</v>
      </c>
      <c r="J4" s="121" t="s">
        <v>210</v>
      </c>
      <c r="K4" s="121" t="s">
        <v>211</v>
      </c>
      <c r="L4" s="121" t="s">
        <v>212</v>
      </c>
      <c r="M4" s="121" t="s">
        <v>213</v>
      </c>
      <c r="N4" s="121" t="s">
        <v>214</v>
      </c>
      <c r="O4" s="121" t="s">
        <v>215</v>
      </c>
      <c r="P4" s="121" t="s">
        <v>216</v>
      </c>
      <c r="Q4" s="121" t="s">
        <v>217</v>
      </c>
      <c r="R4" s="121" t="s">
        <v>218</v>
      </c>
      <c r="S4" s="121" t="s">
        <v>219</v>
      </c>
      <c r="T4" s="121" t="s">
        <v>220</v>
      </c>
    </row>
    <row r="5" spans="1:20" s="124" customFormat="1" ht="12">
      <c r="A5" s="123" t="s">
        <v>221</v>
      </c>
      <c r="B5" s="123" t="s">
        <v>222</v>
      </c>
      <c r="C5" s="123" t="s">
        <v>223</v>
      </c>
      <c r="D5" s="123" t="s">
        <v>223</v>
      </c>
      <c r="E5" s="123" t="s">
        <v>224</v>
      </c>
      <c r="F5" s="123" t="s">
        <v>225</v>
      </c>
      <c r="G5" s="123" t="s">
        <v>226</v>
      </c>
      <c r="H5" s="123" t="s">
        <v>227</v>
      </c>
      <c r="I5" s="123" t="s">
        <v>228</v>
      </c>
      <c r="J5" s="123" t="s">
        <v>229</v>
      </c>
      <c r="K5" s="123" t="s">
        <v>230</v>
      </c>
      <c r="L5" s="123" t="s">
        <v>231</v>
      </c>
      <c r="M5" s="123" t="s">
        <v>232</v>
      </c>
      <c r="N5" s="123" t="s">
        <v>233</v>
      </c>
      <c r="O5" s="123" t="s">
        <v>234</v>
      </c>
      <c r="P5" s="123" t="s">
        <v>235</v>
      </c>
      <c r="Q5" s="123" t="s">
        <v>236</v>
      </c>
      <c r="R5" s="123" t="s">
        <v>237</v>
      </c>
      <c r="S5" s="123" t="s">
        <v>238</v>
      </c>
      <c r="T5" s="123" t="s">
        <v>239</v>
      </c>
    </row>
    <row r="6" spans="1:20" s="3" customFormat="1" ht="22.5">
      <c r="A6" s="33" t="s">
        <v>0</v>
      </c>
      <c r="B6" s="50" t="s">
        <v>143</v>
      </c>
      <c r="C6" s="125" t="str">
        <f>CENTRALA!E7</f>
        <v>-</v>
      </c>
      <c r="D6" s="125">
        <f>D7+D8+D9+D11+D12+D13+D14+D15+D16+D17+D18+D19+D20+D21+D23+D24+D25+D26</f>
        <v>2382644</v>
      </c>
      <c r="E6" s="125">
        <f>Dolnośląski!E7</f>
        <v>181933</v>
      </c>
      <c r="F6" s="125">
        <f>KujawskoPomorski!E7</f>
        <v>129489</v>
      </c>
      <c r="G6" s="125">
        <f>Lubelski!E7</f>
        <v>137488</v>
      </c>
      <c r="H6" s="125">
        <f>Lubuski!E7</f>
        <v>62358</v>
      </c>
      <c r="I6" s="125">
        <f>Łódzki!E7</f>
        <v>166096</v>
      </c>
      <c r="J6" s="125">
        <f>Małopolski!E7</f>
        <v>201895</v>
      </c>
      <c r="K6" s="125">
        <f>Mazowiecki!E7</f>
        <v>332368</v>
      </c>
      <c r="L6" s="125">
        <f>Opolski!E7</f>
        <v>61057</v>
      </c>
      <c r="M6" s="125">
        <f>Podkarpacki!E7</f>
        <v>127167</v>
      </c>
      <c r="N6" s="125">
        <f>Podlaski!E7</f>
        <v>74083</v>
      </c>
      <c r="O6" s="125">
        <f>Pomorski!E7</f>
        <v>135120</v>
      </c>
      <c r="P6" s="125">
        <f>Śląski!E7</f>
        <v>289494</v>
      </c>
      <c r="Q6" s="125">
        <f>Świętokrzyski!E7</f>
        <v>83240</v>
      </c>
      <c r="R6" s="125">
        <f>WarmińskoMazurski!E7</f>
        <v>85478</v>
      </c>
      <c r="S6" s="125">
        <f>Wielkopolski!E7</f>
        <v>209992</v>
      </c>
      <c r="T6" s="125">
        <f>Zachodniopomorski!E7</f>
        <v>105386</v>
      </c>
    </row>
    <row r="7" spans="1:20" ht="23.25">
      <c r="A7" s="40" t="s">
        <v>1</v>
      </c>
      <c r="B7" s="100" t="s">
        <v>165</v>
      </c>
      <c r="C7" s="127" t="str">
        <f>CENTRALA!E8</f>
        <v>-</v>
      </c>
      <c r="D7" s="140">
        <f>SUM(E7:T7)</f>
        <v>48806</v>
      </c>
      <c r="E7" s="127">
        <f>Dolnośląski!E8</f>
        <v>8306</v>
      </c>
      <c r="F7" s="127">
        <f>KujawskoPomorski!E8</f>
        <v>2000</v>
      </c>
      <c r="G7" s="127" t="str">
        <f>Lubelski!E8</f>
        <v>-</v>
      </c>
      <c r="H7" s="127">
        <f>Lubuski!E8</f>
        <v>10000</v>
      </c>
      <c r="I7" s="127">
        <f>Łódzki!E8</f>
        <v>8000</v>
      </c>
      <c r="J7" s="127" t="str">
        <f>Małopolski!E8</f>
        <v>-</v>
      </c>
      <c r="K7" s="127">
        <f>Mazowiecki!E8</f>
        <v>10000</v>
      </c>
      <c r="L7" s="127">
        <f>Opolski!E8</f>
        <v>7500</v>
      </c>
      <c r="M7" s="127" t="str">
        <f>Podkarpacki!E8</f>
        <v>-</v>
      </c>
      <c r="N7" s="127" t="str">
        <f>Podlaski!E8</f>
        <v>-</v>
      </c>
      <c r="O7" s="127" t="str">
        <f>Pomorski!E8</f>
        <v>-</v>
      </c>
      <c r="P7" s="127" t="str">
        <f>Śląski!E8</f>
        <v>-</v>
      </c>
      <c r="Q7" s="127" t="str">
        <f>Świętokrzyski!E8</f>
        <v>-</v>
      </c>
      <c r="R7" s="127" t="str">
        <f>WarmińskoMazurski!E8</f>
        <v>-</v>
      </c>
      <c r="S7" s="127">
        <f>Wielkopolski!E8</f>
        <v>3000</v>
      </c>
      <c r="T7" s="127" t="str">
        <f>Zachodniopomorski!E8</f>
        <v>-</v>
      </c>
    </row>
    <row r="8" spans="1:20" ht="23.25">
      <c r="A8" s="40" t="s">
        <v>2</v>
      </c>
      <c r="B8" s="100" t="s">
        <v>166</v>
      </c>
      <c r="C8" s="127" t="str">
        <f>CENTRALA!E9</f>
        <v>-</v>
      </c>
      <c r="D8" s="140">
        <f aca="true" t="shared" si="0" ref="D8:D32">SUM(E8:T8)</f>
        <v>68997</v>
      </c>
      <c r="E8" s="127">
        <f>Dolnośląski!E9</f>
        <v>5000</v>
      </c>
      <c r="F8" s="127">
        <f>KujawskoPomorski!E9</f>
        <v>2000</v>
      </c>
      <c r="G8" s="127" t="str">
        <f>Lubelski!E9</f>
        <v>-</v>
      </c>
      <c r="H8" s="127">
        <f>Lubuski!E9</f>
        <v>10000</v>
      </c>
      <c r="I8" s="127">
        <f>Łódzki!E9</f>
        <v>5000</v>
      </c>
      <c r="J8" s="127">
        <f>Małopolski!E9</f>
        <v>5540</v>
      </c>
      <c r="K8" s="127">
        <f>Mazowiecki!E9</f>
        <v>10000</v>
      </c>
      <c r="L8" s="127">
        <f>Opolski!E9</f>
        <v>1600</v>
      </c>
      <c r="M8" s="127">
        <f>Podkarpacki!E9</f>
        <v>5000</v>
      </c>
      <c r="N8" s="127">
        <f>Podlaski!E9</f>
        <v>2257</v>
      </c>
      <c r="O8" s="127">
        <f>Pomorski!E9</f>
        <v>7000</v>
      </c>
      <c r="P8" s="127" t="str">
        <f>Śląski!E9</f>
        <v>-</v>
      </c>
      <c r="Q8" s="127">
        <f>Świętokrzyski!E9</f>
        <v>750</v>
      </c>
      <c r="R8" s="127">
        <f>WarmińskoMazurski!E9</f>
        <v>5100</v>
      </c>
      <c r="S8" s="127">
        <f>Wielkopolski!E9</f>
        <v>5750</v>
      </c>
      <c r="T8" s="127">
        <f>Zachodniopomorski!E9</f>
        <v>4000</v>
      </c>
    </row>
    <row r="9" spans="1:20" ht="23.25">
      <c r="A9" s="40" t="s">
        <v>3</v>
      </c>
      <c r="B9" s="100" t="s">
        <v>157</v>
      </c>
      <c r="C9" s="127" t="str">
        <f>CENTRALA!E10</f>
        <v>-</v>
      </c>
      <c r="D9" s="140">
        <f t="shared" si="0"/>
        <v>837692</v>
      </c>
      <c r="E9" s="127">
        <f>Dolnośląski!E10</f>
        <v>65034</v>
      </c>
      <c r="F9" s="127">
        <f>KujawskoPomorski!E10</f>
        <v>18331</v>
      </c>
      <c r="G9" s="127">
        <f>Lubelski!E10</f>
        <v>12330</v>
      </c>
      <c r="H9" s="127">
        <f>Lubuski!E10</f>
        <v>22583</v>
      </c>
      <c r="I9" s="127">
        <f>Łódzki!E10</f>
        <v>51726</v>
      </c>
      <c r="J9" s="127">
        <f>Małopolski!E10</f>
        <v>92600</v>
      </c>
      <c r="K9" s="127">
        <f>Mazowiecki!E10</f>
        <v>141868</v>
      </c>
      <c r="L9" s="127">
        <f>Opolski!E10</f>
        <v>28000</v>
      </c>
      <c r="M9" s="127">
        <f>Podkarpacki!E10</f>
        <v>17761</v>
      </c>
      <c r="N9" s="127">
        <f>Podlaski!E10</f>
        <v>7953</v>
      </c>
      <c r="O9" s="127">
        <f>Pomorski!E10</f>
        <v>53000</v>
      </c>
      <c r="P9" s="127">
        <f>Śląski!E10</f>
        <v>138000</v>
      </c>
      <c r="Q9" s="127">
        <f>Świętokrzyski!E10</f>
        <v>33790</v>
      </c>
      <c r="R9" s="127">
        <f>WarmińskoMazurski!E10</f>
        <v>38080</v>
      </c>
      <c r="S9" s="127">
        <f>Wielkopolski!E10</f>
        <v>50650</v>
      </c>
      <c r="T9" s="127">
        <f>Zachodniopomorski!E10</f>
        <v>65986</v>
      </c>
    </row>
    <row r="10" spans="1:20" ht="23.25">
      <c r="A10" s="101" t="s">
        <v>64</v>
      </c>
      <c r="B10" s="45" t="s">
        <v>65</v>
      </c>
      <c r="C10" s="127" t="str">
        <f>CENTRALA!E11</f>
        <v>-</v>
      </c>
      <c r="D10" s="140">
        <f t="shared" si="0"/>
        <v>144054</v>
      </c>
      <c r="E10" s="127">
        <f>Dolnośląski!E11</f>
        <v>20000</v>
      </c>
      <c r="F10" s="127">
        <f>KujawskoPomorski!E11</f>
        <v>8000</v>
      </c>
      <c r="G10" s="127">
        <f>Lubelski!E11</f>
        <v>7000</v>
      </c>
      <c r="H10" s="127">
        <f>Lubuski!E11</f>
        <v>4600</v>
      </c>
      <c r="I10" s="127">
        <f>Łódzki!E11</f>
        <v>9000</v>
      </c>
      <c r="J10" s="127">
        <f>Małopolski!E11</f>
        <v>49700</v>
      </c>
      <c r="K10" s="127" t="str">
        <f>Mazowiecki!E11</f>
        <v>-</v>
      </c>
      <c r="L10" s="127" t="str">
        <f>Opolski!E11</f>
        <v>-</v>
      </c>
      <c r="M10" s="127">
        <f>Podkarpacki!E11</f>
        <v>1500</v>
      </c>
      <c r="N10" s="127">
        <f>Podlaski!E11</f>
        <v>3104</v>
      </c>
      <c r="O10" s="127">
        <f>Pomorski!E11</f>
        <v>8000</v>
      </c>
      <c r="P10" s="127" t="str">
        <f>Śląski!E11</f>
        <v>-</v>
      </c>
      <c r="Q10" s="127">
        <f>Świętokrzyski!E11</f>
        <v>10500</v>
      </c>
      <c r="R10" s="127">
        <f>WarmińskoMazurski!E11</f>
        <v>6650</v>
      </c>
      <c r="S10" s="127">
        <f>Wielkopolski!E11</f>
        <v>8000</v>
      </c>
      <c r="T10" s="127">
        <f>Zachodniopomorski!E11</f>
        <v>8000</v>
      </c>
    </row>
    <row r="11" spans="1:20" ht="23.25">
      <c r="A11" s="40" t="s">
        <v>4</v>
      </c>
      <c r="B11" s="100" t="s">
        <v>172</v>
      </c>
      <c r="C11" s="127" t="str">
        <f>CENTRALA!E12</f>
        <v>-</v>
      </c>
      <c r="D11" s="140">
        <f t="shared" si="0"/>
        <v>24975</v>
      </c>
      <c r="E11" s="127">
        <f>Dolnośląski!E12</f>
        <v>4000</v>
      </c>
      <c r="F11" s="127" t="str">
        <f>KujawskoPomorski!E12</f>
        <v>-</v>
      </c>
      <c r="G11" s="127" t="str">
        <f>Lubelski!E12</f>
        <v>-</v>
      </c>
      <c r="H11" s="127">
        <f>Lubuski!E12</f>
        <v>3675</v>
      </c>
      <c r="I11" s="127">
        <f>Łódzki!E12</f>
        <v>500</v>
      </c>
      <c r="J11" s="127">
        <f>Małopolski!E12</f>
        <v>1500</v>
      </c>
      <c r="K11" s="127" t="str">
        <f>Mazowiecki!E12</f>
        <v>-</v>
      </c>
      <c r="L11" s="127">
        <f>Opolski!E12</f>
        <v>1400</v>
      </c>
      <c r="M11" s="127">
        <f>Podkarpacki!E12</f>
        <v>1000</v>
      </c>
      <c r="N11" s="127" t="str">
        <f>Podlaski!E12</f>
        <v>-</v>
      </c>
      <c r="O11" s="127" t="str">
        <f>Pomorski!E12</f>
        <v>-</v>
      </c>
      <c r="P11" s="127">
        <f>Śląski!E12</f>
        <v>10000</v>
      </c>
      <c r="Q11" s="127">
        <f>Świętokrzyski!E12</f>
        <v>300</v>
      </c>
      <c r="R11" s="127">
        <f>WarmińskoMazurski!E12</f>
        <v>2000</v>
      </c>
      <c r="S11" s="127" t="str">
        <f>Wielkopolski!E12</f>
        <v>-</v>
      </c>
      <c r="T11" s="127">
        <f>Zachodniopomorski!E12</f>
        <v>600</v>
      </c>
    </row>
    <row r="12" spans="1:20" ht="23.25">
      <c r="A12" s="40" t="s">
        <v>5</v>
      </c>
      <c r="B12" s="100" t="s">
        <v>167</v>
      </c>
      <c r="C12" s="127" t="str">
        <f>CENTRALA!E13</f>
        <v>-</v>
      </c>
      <c r="D12" s="140">
        <f t="shared" si="0"/>
        <v>50534</v>
      </c>
      <c r="E12" s="127">
        <f>Dolnośląski!E13</f>
        <v>5000</v>
      </c>
      <c r="F12" s="127" t="str">
        <f>KujawskoPomorski!E13</f>
        <v>-</v>
      </c>
      <c r="G12" s="127" t="str">
        <f>Lubelski!E13</f>
        <v>-</v>
      </c>
      <c r="H12" s="127">
        <f>Lubuski!E13</f>
        <v>1300</v>
      </c>
      <c r="I12" s="127">
        <f>Łódzki!E13</f>
        <v>1171</v>
      </c>
      <c r="J12" s="127">
        <f>Małopolski!E13</f>
        <v>2500</v>
      </c>
      <c r="K12" s="127">
        <f>Mazowiecki!E13</f>
        <v>15000</v>
      </c>
      <c r="L12" s="127">
        <f>Opolski!E13</f>
        <v>568</v>
      </c>
      <c r="M12" s="127">
        <f>Podkarpacki!E13</f>
        <v>500</v>
      </c>
      <c r="N12" s="127">
        <f>Podlaski!E13</f>
        <v>901</v>
      </c>
      <c r="O12" s="127">
        <f>Pomorski!E13</f>
        <v>4500</v>
      </c>
      <c r="P12" s="127">
        <f>Śląski!E13</f>
        <v>11494</v>
      </c>
      <c r="Q12" s="127" t="str">
        <f>Świętokrzyski!E13</f>
        <v>-</v>
      </c>
      <c r="R12" s="127">
        <f>WarmińskoMazurski!E13</f>
        <v>1500</v>
      </c>
      <c r="S12" s="127">
        <f>Wielkopolski!E13</f>
        <v>5000</v>
      </c>
      <c r="T12" s="127">
        <f>Zachodniopomorski!E13</f>
        <v>1100</v>
      </c>
    </row>
    <row r="13" spans="1:20" ht="40.5">
      <c r="A13" s="40" t="s">
        <v>6</v>
      </c>
      <c r="B13" s="100" t="s">
        <v>176</v>
      </c>
      <c r="C13" s="127" t="str">
        <f>CENTRALA!E14</f>
        <v>-</v>
      </c>
      <c r="D13" s="140">
        <f t="shared" si="0"/>
        <v>16029</v>
      </c>
      <c r="E13" s="127">
        <f>Dolnośląski!E14</f>
        <v>3000</v>
      </c>
      <c r="F13" s="127">
        <f>KujawskoPomorski!E14</f>
        <v>500</v>
      </c>
      <c r="G13" s="127" t="str">
        <f>Lubelski!E14</f>
        <v>-</v>
      </c>
      <c r="H13" s="127">
        <f>Lubuski!E14</f>
        <v>1000</v>
      </c>
      <c r="I13" s="127" t="str">
        <f>Łódzki!E14</f>
        <v>-</v>
      </c>
      <c r="J13" s="127">
        <f>Małopolski!E14</f>
        <v>1000</v>
      </c>
      <c r="K13" s="127" t="str">
        <f>Mazowiecki!E14</f>
        <v>-</v>
      </c>
      <c r="L13" s="127">
        <f>Opolski!E14</f>
        <v>729</v>
      </c>
      <c r="M13" s="127" t="str">
        <f>Podkarpacki!E14</f>
        <v>-</v>
      </c>
      <c r="N13" s="127" t="str">
        <f>Podlaski!E14</f>
        <v>-</v>
      </c>
      <c r="O13" s="127" t="str">
        <f>Pomorski!E14</f>
        <v>-</v>
      </c>
      <c r="P13" s="127">
        <f>Śląski!E14</f>
        <v>5000</v>
      </c>
      <c r="Q13" s="127">
        <f>Świętokrzyski!E14</f>
        <v>900</v>
      </c>
      <c r="R13" s="127">
        <f>WarmińskoMazurski!E14</f>
        <v>900</v>
      </c>
      <c r="S13" s="127">
        <f>Wielkopolski!E14</f>
        <v>2000</v>
      </c>
      <c r="T13" s="127">
        <f>Zachodniopomorski!E14</f>
        <v>1000</v>
      </c>
    </row>
    <row r="14" spans="1:20" ht="23.25">
      <c r="A14" s="40" t="s">
        <v>7</v>
      </c>
      <c r="B14" s="100" t="s">
        <v>175</v>
      </c>
      <c r="C14" s="127" t="str">
        <f>CENTRALA!E15</f>
        <v>-</v>
      </c>
      <c r="D14" s="140">
        <f t="shared" si="0"/>
        <v>13850</v>
      </c>
      <c r="E14" s="127">
        <f>Dolnośląski!E15</f>
        <v>2500</v>
      </c>
      <c r="F14" s="127" t="str">
        <f>KujawskoPomorski!E15</f>
        <v>-</v>
      </c>
      <c r="G14" s="127" t="str">
        <f>Lubelski!E15</f>
        <v>-</v>
      </c>
      <c r="H14" s="127">
        <f>Lubuski!E15</f>
        <v>300</v>
      </c>
      <c r="I14" s="127">
        <f>Łódzki!E15</f>
        <v>500</v>
      </c>
      <c r="J14" s="127">
        <f>Małopolski!E15</f>
        <v>450</v>
      </c>
      <c r="K14" s="127">
        <f>Mazowiecki!E15</f>
        <v>500</v>
      </c>
      <c r="L14" s="127">
        <f>Opolski!E15</f>
        <v>100</v>
      </c>
      <c r="M14" s="127">
        <f>Podkarpacki!E15</f>
        <v>300</v>
      </c>
      <c r="N14" s="127" t="str">
        <f>Podlaski!E15</f>
        <v>-</v>
      </c>
      <c r="O14" s="127">
        <f>Pomorski!E15</f>
        <v>1000</v>
      </c>
      <c r="P14" s="127">
        <f>Śląski!E15</f>
        <v>5000</v>
      </c>
      <c r="Q14" s="127">
        <f>Świętokrzyski!E15</f>
        <v>900</v>
      </c>
      <c r="R14" s="127">
        <f>WarmińskoMazurski!E15</f>
        <v>500</v>
      </c>
      <c r="S14" s="127">
        <f>Wielkopolski!E15</f>
        <v>1100</v>
      </c>
      <c r="T14" s="127">
        <f>Zachodniopomorski!E15</f>
        <v>700</v>
      </c>
    </row>
    <row r="15" spans="1:20" ht="23.25">
      <c r="A15" s="40" t="s">
        <v>8</v>
      </c>
      <c r="B15" s="100" t="s">
        <v>168</v>
      </c>
      <c r="C15" s="127" t="str">
        <f>CENTRALA!E16</f>
        <v>-</v>
      </c>
      <c r="D15" s="140">
        <f t="shared" si="0"/>
        <v>6878</v>
      </c>
      <c r="E15" s="127">
        <f>Dolnośląski!E16</f>
        <v>3500</v>
      </c>
      <c r="F15" s="127" t="str">
        <f>KujawskoPomorski!E16</f>
        <v>-</v>
      </c>
      <c r="G15" s="127" t="str">
        <f>Lubelski!E16</f>
        <v>-</v>
      </c>
      <c r="H15" s="127" t="str">
        <f>Lubuski!E16</f>
        <v>-</v>
      </c>
      <c r="I15" s="127" t="str">
        <f>Łódzki!E16</f>
        <v>-</v>
      </c>
      <c r="J15" s="127">
        <f>Małopolski!E16</f>
        <v>1000</v>
      </c>
      <c r="K15" s="127" t="str">
        <f>Mazowiecki!E16</f>
        <v>-</v>
      </c>
      <c r="L15" s="127">
        <f>Opolski!E16</f>
        <v>100</v>
      </c>
      <c r="M15" s="127" t="str">
        <f>Podkarpacki!E16</f>
        <v>-</v>
      </c>
      <c r="N15" s="127" t="str">
        <f>Podlaski!E16</f>
        <v>-</v>
      </c>
      <c r="O15" s="127">
        <f>Pomorski!E16</f>
        <v>2000</v>
      </c>
      <c r="P15" s="127" t="str">
        <f>Śląski!E16</f>
        <v>-</v>
      </c>
      <c r="Q15" s="127" t="str">
        <f>Świętokrzyski!E16</f>
        <v>-</v>
      </c>
      <c r="R15" s="127">
        <f>WarmińskoMazurski!E16</f>
        <v>278</v>
      </c>
      <c r="S15" s="127" t="str">
        <f>Wielkopolski!E16</f>
        <v>-</v>
      </c>
      <c r="T15" s="127" t="str">
        <f>Zachodniopomorski!E16</f>
        <v>-</v>
      </c>
    </row>
    <row r="16" spans="1:20" ht="23.25">
      <c r="A16" s="40" t="s">
        <v>9</v>
      </c>
      <c r="B16" s="100" t="s">
        <v>169</v>
      </c>
      <c r="C16" s="127" t="str">
        <f>CENTRALA!E17</f>
        <v>-</v>
      </c>
      <c r="D16" s="140">
        <f t="shared" si="0"/>
        <v>1000</v>
      </c>
      <c r="E16" s="127" t="str">
        <f>Dolnośląski!E17</f>
        <v>-</v>
      </c>
      <c r="F16" s="127" t="str">
        <f>KujawskoPomorski!E17</f>
        <v>-</v>
      </c>
      <c r="G16" s="127" t="str">
        <f>Lubelski!E17</f>
        <v>-</v>
      </c>
      <c r="H16" s="127" t="str">
        <f>Lubuski!E17</f>
        <v>-</v>
      </c>
      <c r="I16" s="127" t="str">
        <f>Łódzki!E17</f>
        <v>-</v>
      </c>
      <c r="J16" s="127">
        <f>Małopolski!E17</f>
        <v>1000</v>
      </c>
      <c r="K16" s="127" t="str">
        <f>Mazowiecki!E17</f>
        <v>-</v>
      </c>
      <c r="L16" s="127" t="str">
        <f>Opolski!E17</f>
        <v>-</v>
      </c>
      <c r="M16" s="127" t="str">
        <f>Podkarpacki!E17</f>
        <v>-</v>
      </c>
      <c r="N16" s="127" t="str">
        <f>Podlaski!E17</f>
        <v>-</v>
      </c>
      <c r="O16" s="127" t="str">
        <f>Pomorski!E17</f>
        <v>-</v>
      </c>
      <c r="P16" s="127" t="str">
        <f>Śląski!E17</f>
        <v>-</v>
      </c>
      <c r="Q16" s="127" t="str">
        <f>Świętokrzyski!E17</f>
        <v>-</v>
      </c>
      <c r="R16" s="127" t="str">
        <f>WarmińskoMazurski!E17</f>
        <v>-</v>
      </c>
      <c r="S16" s="127" t="str">
        <f>Wielkopolski!E17</f>
        <v>-</v>
      </c>
      <c r="T16" s="127" t="str">
        <f>Zachodniopomorski!E17</f>
        <v>-</v>
      </c>
    </row>
    <row r="17" spans="1:20" ht="23.25">
      <c r="A17" s="40" t="s">
        <v>10</v>
      </c>
      <c r="B17" s="100" t="s">
        <v>177</v>
      </c>
      <c r="C17" s="127" t="str">
        <f>CENTRALA!E18</f>
        <v>-</v>
      </c>
      <c r="D17" s="140">
        <f t="shared" si="0"/>
        <v>150</v>
      </c>
      <c r="E17" s="127" t="str">
        <f>Dolnośląski!E18</f>
        <v>-</v>
      </c>
      <c r="F17" s="127" t="str">
        <f>KujawskoPomorski!E18</f>
        <v>-</v>
      </c>
      <c r="G17" s="127" t="str">
        <f>Lubelski!E18</f>
        <v>-</v>
      </c>
      <c r="H17" s="127" t="str">
        <f>Lubuski!E18</f>
        <v>-</v>
      </c>
      <c r="I17" s="127" t="str">
        <f>Łódzki!E18</f>
        <v>-</v>
      </c>
      <c r="J17" s="127">
        <f>Małopolski!E18</f>
        <v>150</v>
      </c>
      <c r="K17" s="127" t="str">
        <f>Mazowiecki!E18</f>
        <v>-</v>
      </c>
      <c r="L17" s="127" t="str">
        <f>Opolski!E18</f>
        <v>-</v>
      </c>
      <c r="M17" s="127" t="str">
        <f>Podkarpacki!E18</f>
        <v>-</v>
      </c>
      <c r="N17" s="127" t="str">
        <f>Podlaski!E18</f>
        <v>-</v>
      </c>
      <c r="O17" s="127" t="str">
        <f>Pomorski!E18</f>
        <v>-</v>
      </c>
      <c r="P17" s="127" t="str">
        <f>Śląski!E18</f>
        <v>-</v>
      </c>
      <c r="Q17" s="127" t="str">
        <f>Świętokrzyski!E18</f>
        <v>-</v>
      </c>
      <c r="R17" s="127" t="str">
        <f>WarmińskoMazurski!E18</f>
        <v>-</v>
      </c>
      <c r="S17" s="127" t="str">
        <f>Wielkopolski!E18</f>
        <v>-</v>
      </c>
      <c r="T17" s="127" t="str">
        <f>Zachodniopomorski!E18</f>
        <v>-</v>
      </c>
    </row>
    <row r="18" spans="1:20" ht="48" customHeight="1">
      <c r="A18" s="40" t="s">
        <v>11</v>
      </c>
      <c r="B18" s="100" t="s">
        <v>170</v>
      </c>
      <c r="C18" s="127" t="str">
        <f>CENTRALA!E19</f>
        <v>-</v>
      </c>
      <c r="D18" s="140">
        <f t="shared" si="0"/>
        <v>11761</v>
      </c>
      <c r="E18" s="127" t="str">
        <f>Dolnośląski!E19</f>
        <v>-</v>
      </c>
      <c r="F18" s="127" t="str">
        <f>KujawskoPomorski!E19</f>
        <v>-</v>
      </c>
      <c r="G18" s="127" t="str">
        <f>Lubelski!E19</f>
        <v>-</v>
      </c>
      <c r="H18" s="127" t="str">
        <f>Lubuski!E19</f>
        <v>-</v>
      </c>
      <c r="I18" s="127" t="str">
        <f>Łódzki!E19</f>
        <v>-</v>
      </c>
      <c r="J18" s="127">
        <f>Małopolski!E19</f>
        <v>1500</v>
      </c>
      <c r="K18" s="127" t="str">
        <f>Mazowiecki!E19</f>
        <v>-</v>
      </c>
      <c r="L18" s="127">
        <f>Opolski!E19</f>
        <v>400</v>
      </c>
      <c r="M18" s="127">
        <f>Podkarpacki!E19</f>
        <v>1388</v>
      </c>
      <c r="N18" s="127">
        <f>Podlaski!E19</f>
        <v>273</v>
      </c>
      <c r="O18" s="127">
        <f>Pomorski!E19</f>
        <v>1200</v>
      </c>
      <c r="P18" s="127">
        <f>Śląski!E19</f>
        <v>5000</v>
      </c>
      <c r="Q18" s="127" t="str">
        <f>Świętokrzyski!E19</f>
        <v>-</v>
      </c>
      <c r="R18" s="127" t="str">
        <f>WarmińskoMazurski!E19</f>
        <v>-</v>
      </c>
      <c r="S18" s="127">
        <f>Wielkopolski!E19</f>
        <v>1000</v>
      </c>
      <c r="T18" s="127">
        <f>Zachodniopomorski!E19</f>
        <v>1000</v>
      </c>
    </row>
    <row r="19" spans="1:20" ht="23.25">
      <c r="A19" s="40" t="s">
        <v>12</v>
      </c>
      <c r="B19" s="100" t="s">
        <v>171</v>
      </c>
      <c r="C19" s="127" t="str">
        <f>CENTRALA!E20</f>
        <v>-</v>
      </c>
      <c r="D19" s="140">
        <f t="shared" si="0"/>
        <v>51351</v>
      </c>
      <c r="E19" s="127">
        <f>Dolnośląski!E20</f>
        <v>3000</v>
      </c>
      <c r="F19" s="127" t="str">
        <f>KujawskoPomorski!E20</f>
        <v>-</v>
      </c>
      <c r="G19" s="127" t="str">
        <f>Lubelski!E20</f>
        <v>-</v>
      </c>
      <c r="H19" s="127">
        <f>Lubuski!E20</f>
        <v>1500</v>
      </c>
      <c r="I19" s="127">
        <f>Łódzki!E20</f>
        <v>3000</v>
      </c>
      <c r="J19" s="127">
        <f>Małopolski!E20</f>
        <v>3500</v>
      </c>
      <c r="K19" s="127">
        <f>Mazowiecki!E20</f>
        <v>10000</v>
      </c>
      <c r="L19" s="127">
        <f>Opolski!E20</f>
        <v>310</v>
      </c>
      <c r="M19" s="127">
        <f>Podkarpacki!E20</f>
        <v>5500</v>
      </c>
      <c r="N19" s="127">
        <f>Podlaski!E20</f>
        <v>441</v>
      </c>
      <c r="O19" s="127">
        <f>Pomorski!E20</f>
        <v>4000</v>
      </c>
      <c r="P19" s="127">
        <f>Śląski!E20</f>
        <v>10000</v>
      </c>
      <c r="Q19" s="127">
        <f>Świętokrzyski!E20</f>
        <v>600</v>
      </c>
      <c r="R19" s="127">
        <f>WarmińskoMazurski!E20</f>
        <v>4000</v>
      </c>
      <c r="S19" s="127">
        <f>Wielkopolski!E20</f>
        <v>2000</v>
      </c>
      <c r="T19" s="127">
        <f>Zachodniopomorski!E20</f>
        <v>3500</v>
      </c>
    </row>
    <row r="20" spans="1:20" ht="40.5">
      <c r="A20" s="40" t="s">
        <v>14</v>
      </c>
      <c r="B20" s="46" t="s">
        <v>13</v>
      </c>
      <c r="C20" s="127" t="str">
        <f>CENTRALA!E21</f>
        <v>-</v>
      </c>
      <c r="D20" s="140">
        <f t="shared" si="0"/>
        <v>12300</v>
      </c>
      <c r="E20" s="127">
        <f>Dolnośląski!E21</f>
        <v>500</v>
      </c>
      <c r="F20" s="127">
        <f>KujawskoPomorski!E21</f>
        <v>3500</v>
      </c>
      <c r="G20" s="127" t="str">
        <f>Lubelski!E21</f>
        <v>-</v>
      </c>
      <c r="H20" s="127" t="str">
        <f>Lubuski!E21</f>
        <v>-</v>
      </c>
      <c r="I20" s="127" t="str">
        <f>Łódzki!E21</f>
        <v>-</v>
      </c>
      <c r="J20" s="127">
        <f>Małopolski!E21</f>
        <v>2500</v>
      </c>
      <c r="K20" s="127" t="str">
        <f>Mazowiecki!E21</f>
        <v>-</v>
      </c>
      <c r="L20" s="127" t="str">
        <f>Opolski!E21</f>
        <v>-</v>
      </c>
      <c r="M20" s="127">
        <f>Podkarpacki!E21</f>
        <v>500</v>
      </c>
      <c r="N20" s="127" t="str">
        <f>Podlaski!E21</f>
        <v>-</v>
      </c>
      <c r="O20" s="127">
        <f>Pomorski!E21</f>
        <v>2000</v>
      </c>
      <c r="P20" s="127" t="str">
        <f>Śląski!E21</f>
        <v>-</v>
      </c>
      <c r="Q20" s="127" t="str">
        <f>Świętokrzyski!E21</f>
        <v>-</v>
      </c>
      <c r="R20" s="127">
        <f>WarmińskoMazurski!E21</f>
        <v>300</v>
      </c>
      <c r="S20" s="127">
        <f>Wielkopolski!E21</f>
        <v>3000</v>
      </c>
      <c r="T20" s="127" t="str">
        <f>Zachodniopomorski!E21</f>
        <v>-</v>
      </c>
    </row>
    <row r="21" spans="1:20" ht="23.25">
      <c r="A21" s="41" t="s">
        <v>15</v>
      </c>
      <c r="B21" s="100" t="s">
        <v>173</v>
      </c>
      <c r="C21" s="127" t="str">
        <f>CENTRALA!E22</f>
        <v>-</v>
      </c>
      <c r="D21" s="140">
        <f t="shared" si="0"/>
        <v>898915</v>
      </c>
      <c r="E21" s="127">
        <f>Dolnośląski!E22</f>
        <v>41093</v>
      </c>
      <c r="F21" s="127">
        <f>KujawskoPomorski!E22</f>
        <v>98915</v>
      </c>
      <c r="G21" s="127">
        <f>Lubelski!E22</f>
        <v>112158</v>
      </c>
      <c r="H21" s="127">
        <f>Lubuski!E22</f>
        <v>2000</v>
      </c>
      <c r="I21" s="127">
        <f>Łódzki!E22</f>
        <v>59774</v>
      </c>
      <c r="J21" s="127">
        <f>Małopolski!E22</f>
        <v>55655</v>
      </c>
      <c r="K21" s="127">
        <f>Mazowiecki!E22</f>
        <v>135000</v>
      </c>
      <c r="L21" s="127">
        <f>Opolski!E22</f>
        <v>20000</v>
      </c>
      <c r="M21" s="127">
        <f>Podkarpacki!E22</f>
        <v>75018</v>
      </c>
      <c r="N21" s="127">
        <f>Podlaski!E22</f>
        <v>55550</v>
      </c>
      <c r="O21" s="127">
        <f>Pomorski!E22</f>
        <v>60420</v>
      </c>
      <c r="P21" s="127">
        <f>Śląski!E22</f>
        <v>10000</v>
      </c>
      <c r="Q21" s="127">
        <f>Świętokrzyski!E22</f>
        <v>26000</v>
      </c>
      <c r="R21" s="127">
        <f>WarmińskoMazurski!E22</f>
        <v>26820</v>
      </c>
      <c r="S21" s="127">
        <f>Wielkopolski!E22</f>
        <v>100512</v>
      </c>
      <c r="T21" s="127">
        <f>Zachodniopomorski!E22</f>
        <v>20000</v>
      </c>
    </row>
    <row r="22" spans="1:20" ht="23.25">
      <c r="A22" s="39" t="s">
        <v>178</v>
      </c>
      <c r="B22" s="45" t="s">
        <v>66</v>
      </c>
      <c r="C22" s="127" t="str">
        <f>CENTRALA!E23</f>
        <v>-</v>
      </c>
      <c r="D22" s="140">
        <f t="shared" si="0"/>
        <v>1600</v>
      </c>
      <c r="E22" s="127" t="str">
        <f>Dolnośląski!E23</f>
        <v>-</v>
      </c>
      <c r="F22" s="127" t="str">
        <f>KujawskoPomorski!E23</f>
        <v>-</v>
      </c>
      <c r="G22" s="127" t="str">
        <f>Lubelski!E23</f>
        <v>-</v>
      </c>
      <c r="H22" s="127" t="str">
        <f>Lubuski!E23</f>
        <v>-</v>
      </c>
      <c r="I22" s="127" t="str">
        <f>Łódzki!E23</f>
        <v>-</v>
      </c>
      <c r="J22" s="127" t="str">
        <f>Małopolski!E23</f>
        <v>-</v>
      </c>
      <c r="K22" s="127" t="str">
        <f>Mazowiecki!E23</f>
        <v>-</v>
      </c>
      <c r="L22" s="127" t="str">
        <f>Opolski!E23</f>
        <v>-</v>
      </c>
      <c r="M22" s="127">
        <f>Podkarpacki!E23</f>
        <v>1000</v>
      </c>
      <c r="N22" s="127">
        <f>Podlaski!E23</f>
        <v>600</v>
      </c>
      <c r="O22" s="127" t="str">
        <f>Pomorski!E23</f>
        <v>-</v>
      </c>
      <c r="P22" s="127" t="str">
        <f>Śląski!E23</f>
        <v>-</v>
      </c>
      <c r="Q22" s="127" t="str">
        <f>Świętokrzyski!E23</f>
        <v>-</v>
      </c>
      <c r="R22" s="127" t="str">
        <f>WarmińskoMazurski!E23</f>
        <v>-</v>
      </c>
      <c r="S22" s="127" t="str">
        <f>Wielkopolski!E23</f>
        <v>-</v>
      </c>
      <c r="T22" s="127" t="str">
        <f>Zachodniopomorski!E23</f>
        <v>-</v>
      </c>
    </row>
    <row r="23" spans="1:20" ht="40.5">
      <c r="A23" s="42" t="s">
        <v>16</v>
      </c>
      <c r="B23" s="47" t="s">
        <v>140</v>
      </c>
      <c r="C23" s="127" t="str">
        <f>CENTRALA!E24</f>
        <v>-</v>
      </c>
      <c r="D23" s="140">
        <f t="shared" si="0"/>
        <v>0</v>
      </c>
      <c r="E23" s="127" t="str">
        <f>Dolnośląski!E24</f>
        <v>-</v>
      </c>
      <c r="F23" s="127" t="str">
        <f>KujawskoPomorski!E24</f>
        <v>-</v>
      </c>
      <c r="G23" s="127" t="str">
        <f>Lubelski!E24</f>
        <v>-</v>
      </c>
      <c r="H23" s="127" t="str">
        <f>Lubuski!E24</f>
        <v>-</v>
      </c>
      <c r="I23" s="127" t="str">
        <f>Łódzki!E24</f>
        <v>-</v>
      </c>
      <c r="J23" s="127" t="str">
        <f>Małopolski!E24</f>
        <v>-</v>
      </c>
      <c r="K23" s="127" t="str">
        <f>Mazowiecki!E24</f>
        <v>-</v>
      </c>
      <c r="L23" s="127" t="str">
        <f>Opolski!E24</f>
        <v>-</v>
      </c>
      <c r="M23" s="127" t="str">
        <f>Podkarpacki!E24</f>
        <v>-</v>
      </c>
      <c r="N23" s="127" t="str">
        <f>Podlaski!E24</f>
        <v>-</v>
      </c>
      <c r="O23" s="127" t="str">
        <f>Pomorski!E24</f>
        <v>-</v>
      </c>
      <c r="P23" s="127" t="str">
        <f>Śląski!E24</f>
        <v>-</v>
      </c>
      <c r="Q23" s="127" t="str">
        <f>Świętokrzyski!E24</f>
        <v>-</v>
      </c>
      <c r="R23" s="127" t="str">
        <f>WarmińskoMazurski!E24</f>
        <v>-</v>
      </c>
      <c r="S23" s="127" t="str">
        <f>Wielkopolski!E24</f>
        <v>-</v>
      </c>
      <c r="T23" s="127" t="str">
        <f>Zachodniopomorski!E24</f>
        <v>-</v>
      </c>
    </row>
    <row r="24" spans="1:20" ht="40.5">
      <c r="A24" s="42" t="s">
        <v>137</v>
      </c>
      <c r="B24" s="48" t="s">
        <v>60</v>
      </c>
      <c r="C24" s="127" t="str">
        <f>CENTRALA!E25</f>
        <v>-</v>
      </c>
      <c r="D24" s="140">
        <f t="shared" si="0"/>
        <v>0</v>
      </c>
      <c r="E24" s="127" t="str">
        <f>Dolnośląski!E25</f>
        <v>-</v>
      </c>
      <c r="F24" s="127" t="str">
        <f>KujawskoPomorski!E25</f>
        <v>-</v>
      </c>
      <c r="G24" s="127" t="str">
        <f>Lubelski!E25</f>
        <v>-</v>
      </c>
      <c r="H24" s="127" t="str">
        <f>Lubuski!E25</f>
        <v>-</v>
      </c>
      <c r="I24" s="127" t="str">
        <f>Łódzki!E25</f>
        <v>-</v>
      </c>
      <c r="J24" s="127" t="str">
        <f>Małopolski!E25</f>
        <v>-</v>
      </c>
      <c r="K24" s="127" t="str">
        <f>Mazowiecki!E25</f>
        <v>-</v>
      </c>
      <c r="L24" s="127" t="str">
        <f>Opolski!E25</f>
        <v>-</v>
      </c>
      <c r="M24" s="127" t="str">
        <f>Podkarpacki!E25</f>
        <v>-</v>
      </c>
      <c r="N24" s="127" t="str">
        <f>Podlaski!E25</f>
        <v>-</v>
      </c>
      <c r="O24" s="127" t="str">
        <f>Pomorski!E25</f>
        <v>-</v>
      </c>
      <c r="P24" s="127" t="str">
        <f>Śląski!E25</f>
        <v>-</v>
      </c>
      <c r="Q24" s="127" t="str">
        <f>Świętokrzyski!E25</f>
        <v>-</v>
      </c>
      <c r="R24" s="127" t="str">
        <f>WarmińskoMazurski!E25</f>
        <v>-</v>
      </c>
      <c r="S24" s="127" t="str">
        <f>Wielkopolski!E25</f>
        <v>-</v>
      </c>
      <c r="T24" s="127" t="str">
        <f>Zachodniopomorski!E25</f>
        <v>-</v>
      </c>
    </row>
    <row r="25" spans="1:20" ht="40.5">
      <c r="A25" s="42" t="s">
        <v>138</v>
      </c>
      <c r="B25" s="48" t="s">
        <v>141</v>
      </c>
      <c r="C25" s="127" t="str">
        <f>CENTRALA!E26</f>
        <v>-</v>
      </c>
      <c r="D25" s="140">
        <f t="shared" si="0"/>
        <v>0</v>
      </c>
      <c r="E25" s="127" t="str">
        <f>Dolnośląski!E26</f>
        <v>-</v>
      </c>
      <c r="F25" s="127" t="str">
        <f>KujawskoPomorski!E26</f>
        <v>-</v>
      </c>
      <c r="G25" s="127" t="str">
        <f>Lubelski!E26</f>
        <v>-</v>
      </c>
      <c r="H25" s="127" t="str">
        <f>Lubuski!E26</f>
        <v>-</v>
      </c>
      <c r="I25" s="127" t="str">
        <f>Łódzki!E26</f>
        <v>-</v>
      </c>
      <c r="J25" s="127" t="str">
        <f>Małopolski!E26</f>
        <v>-</v>
      </c>
      <c r="K25" s="127" t="str">
        <f>Mazowiecki!E26</f>
        <v>-</v>
      </c>
      <c r="L25" s="127" t="str">
        <f>Opolski!E26</f>
        <v>-</v>
      </c>
      <c r="M25" s="127" t="str">
        <f>Podkarpacki!E26</f>
        <v>-</v>
      </c>
      <c r="N25" s="127" t="str">
        <f>Podlaski!E26</f>
        <v>-</v>
      </c>
      <c r="O25" s="127" t="str">
        <f>Pomorski!E26</f>
        <v>-</v>
      </c>
      <c r="P25" s="127" t="str">
        <f>Śląski!E26</f>
        <v>-</v>
      </c>
      <c r="Q25" s="127" t="str">
        <f>Świętokrzyski!E26</f>
        <v>-</v>
      </c>
      <c r="R25" s="127" t="str">
        <f>WarmińskoMazurski!E26</f>
        <v>-</v>
      </c>
      <c r="S25" s="127" t="str">
        <f>Wielkopolski!E26</f>
        <v>-</v>
      </c>
      <c r="T25" s="127" t="str">
        <f>Zachodniopomorski!E26</f>
        <v>-</v>
      </c>
    </row>
    <row r="26" spans="1:20" ht="23.25">
      <c r="A26" s="42" t="s">
        <v>139</v>
      </c>
      <c r="B26" s="48" t="s">
        <v>142</v>
      </c>
      <c r="C26" s="127" t="str">
        <f>CENTRALA!E27</f>
        <v>-</v>
      </c>
      <c r="D26" s="140">
        <f t="shared" si="0"/>
        <v>339406</v>
      </c>
      <c r="E26" s="127">
        <f>Dolnośląski!E27</f>
        <v>41000</v>
      </c>
      <c r="F26" s="127">
        <f>KujawskoPomorski!E27</f>
        <v>4243</v>
      </c>
      <c r="G26" s="127">
        <f>Lubelski!E27</f>
        <v>13000</v>
      </c>
      <c r="H26" s="127">
        <f>Lubuski!E27</f>
        <v>10000</v>
      </c>
      <c r="I26" s="127">
        <f>Łódzki!E27</f>
        <v>36425</v>
      </c>
      <c r="J26" s="127">
        <f>Małopolski!E27</f>
        <v>33000</v>
      </c>
      <c r="K26" s="127">
        <f>Mazowiecki!E27</f>
        <v>10000</v>
      </c>
      <c r="L26" s="127">
        <f>Opolski!E27</f>
        <v>350</v>
      </c>
      <c r="M26" s="127">
        <f>Podkarpacki!E27</f>
        <v>20200</v>
      </c>
      <c r="N26" s="127">
        <f>Podlaski!E27</f>
        <v>6708</v>
      </c>
      <c r="O26" s="127" t="str">
        <f>Pomorski!E27</f>
        <v>-</v>
      </c>
      <c r="P26" s="127">
        <f>Śląski!E27</f>
        <v>95000</v>
      </c>
      <c r="Q26" s="127">
        <f>Świętokrzyski!E27</f>
        <v>20000</v>
      </c>
      <c r="R26" s="127">
        <f>WarmińskoMazurski!E27</f>
        <v>6000</v>
      </c>
      <c r="S26" s="127">
        <f>Wielkopolski!E27</f>
        <v>35980</v>
      </c>
      <c r="T26" s="127">
        <f>Zachodniopomorski!E27</f>
        <v>7500</v>
      </c>
    </row>
    <row r="27" spans="1:20" ht="23.25">
      <c r="A27" s="44" t="s">
        <v>34</v>
      </c>
      <c r="B27" s="56" t="s">
        <v>174</v>
      </c>
      <c r="C27" s="126"/>
      <c r="D27" s="142">
        <f>SUM(D28:D31)</f>
        <v>36000</v>
      </c>
      <c r="E27" s="142">
        <f aca="true" t="shared" si="1" ref="E27:T27">SUM(E28:E31)</f>
        <v>0</v>
      </c>
      <c r="F27" s="142">
        <f t="shared" si="1"/>
        <v>0</v>
      </c>
      <c r="G27" s="142">
        <f t="shared" si="1"/>
        <v>0</v>
      </c>
      <c r="H27" s="142">
        <f t="shared" si="1"/>
        <v>0</v>
      </c>
      <c r="I27" s="142">
        <f t="shared" si="1"/>
        <v>0</v>
      </c>
      <c r="J27" s="142">
        <f t="shared" si="1"/>
        <v>0</v>
      </c>
      <c r="K27" s="142">
        <f t="shared" si="1"/>
        <v>0</v>
      </c>
      <c r="L27" s="142">
        <f t="shared" si="1"/>
        <v>0</v>
      </c>
      <c r="M27" s="142">
        <f t="shared" si="1"/>
        <v>0</v>
      </c>
      <c r="N27" s="142">
        <f t="shared" si="1"/>
        <v>0</v>
      </c>
      <c r="O27" s="142">
        <f t="shared" si="1"/>
        <v>0</v>
      </c>
      <c r="P27" s="142">
        <f t="shared" si="1"/>
        <v>0</v>
      </c>
      <c r="Q27" s="142">
        <f t="shared" si="1"/>
        <v>0</v>
      </c>
      <c r="R27" s="142">
        <f t="shared" si="1"/>
        <v>36000</v>
      </c>
      <c r="S27" s="142">
        <f t="shared" si="1"/>
        <v>0</v>
      </c>
      <c r="T27" s="142">
        <f t="shared" si="1"/>
        <v>0</v>
      </c>
    </row>
    <row r="28" spans="1:20" ht="40.5">
      <c r="A28" s="42" t="s">
        <v>119</v>
      </c>
      <c r="B28" s="51" t="s">
        <v>144</v>
      </c>
      <c r="D28" s="140">
        <f t="shared" si="0"/>
        <v>5</v>
      </c>
      <c r="E28" s="127" t="str">
        <f>Dolnośląski!E52</f>
        <v>-</v>
      </c>
      <c r="F28" s="127" t="str">
        <f>KujawskoPomorski!E52</f>
        <v>-</v>
      </c>
      <c r="G28" s="127" t="str">
        <f>Lubelski!E52</f>
        <v>-</v>
      </c>
      <c r="H28" s="127" t="str">
        <f>Lubuski!E52</f>
        <v>-</v>
      </c>
      <c r="I28" s="127" t="str">
        <f>Łódzki!E52</f>
        <v>-</v>
      </c>
      <c r="J28" s="127" t="str">
        <f>Małopolski!E52</f>
        <v>-</v>
      </c>
      <c r="K28" s="127" t="str">
        <f>Mazowiecki!E52</f>
        <v>-</v>
      </c>
      <c r="L28" s="127" t="str">
        <f>Opolski!E52</f>
        <v>-</v>
      </c>
      <c r="M28" s="127" t="str">
        <f>Podkarpacki!E52</f>
        <v>-</v>
      </c>
      <c r="N28" s="127" t="str">
        <f>Podlaski!E52</f>
        <v>-</v>
      </c>
      <c r="O28" s="127" t="str">
        <f>Pomorski!E52</f>
        <v>-</v>
      </c>
      <c r="P28" s="127" t="str">
        <f>Śląski!E52</f>
        <v>-</v>
      </c>
      <c r="Q28" s="127" t="str">
        <f>Świętokrzyski!E52</f>
        <v>-</v>
      </c>
      <c r="R28" s="127" t="str">
        <f>WarmińskoMazurski!E52</f>
        <v>-</v>
      </c>
      <c r="S28" s="127" t="str">
        <f>Wielkopolski!E52</f>
        <v>-</v>
      </c>
      <c r="T28" s="127">
        <f>Zachodniopomorski!E52</f>
        <v>5</v>
      </c>
    </row>
    <row r="29" spans="1:20" ht="23.25">
      <c r="A29" s="42" t="s">
        <v>35</v>
      </c>
      <c r="B29" s="51" t="s">
        <v>63</v>
      </c>
      <c r="D29" s="140">
        <f t="shared" si="0"/>
        <v>35900</v>
      </c>
      <c r="E29" s="127" t="str">
        <f>Dolnośląski!E53</f>
        <v>-</v>
      </c>
      <c r="F29" s="127" t="str">
        <f>KujawskoPomorski!E53</f>
        <v>-</v>
      </c>
      <c r="G29" s="127" t="str">
        <f>Lubelski!E53</f>
        <v>-</v>
      </c>
      <c r="H29" s="127" t="str">
        <f>Lubuski!E53</f>
        <v>-</v>
      </c>
      <c r="I29" s="127" t="str">
        <f>Łódzki!E53</f>
        <v>-</v>
      </c>
      <c r="J29" s="127" t="str">
        <f>Małopolski!E53</f>
        <v>-</v>
      </c>
      <c r="K29" s="127" t="str">
        <f>Mazowiecki!E53</f>
        <v>-</v>
      </c>
      <c r="L29" s="127" t="str">
        <f>Opolski!E53</f>
        <v>-</v>
      </c>
      <c r="M29" s="127" t="str">
        <f>Podkarpacki!E53</f>
        <v>-</v>
      </c>
      <c r="N29" s="127" t="str">
        <f>Podlaski!E53</f>
        <v>-</v>
      </c>
      <c r="O29" s="127" t="str">
        <f>Pomorski!E53</f>
        <v>-</v>
      </c>
      <c r="P29" s="127" t="str">
        <f>Śląski!E53</f>
        <v>-</v>
      </c>
      <c r="Q29" s="127">
        <f>Świętokrzyski!E53</f>
        <v>-100</v>
      </c>
      <c r="R29" s="127">
        <f>WarmińskoMazurski!E53</f>
        <v>36000</v>
      </c>
      <c r="S29" s="127" t="str">
        <f>Wielkopolski!E53</f>
        <v>-</v>
      </c>
      <c r="T29" s="127" t="str">
        <f>Zachodniopomorski!E53</f>
        <v>-</v>
      </c>
    </row>
    <row r="30" spans="1:20" ht="23.25">
      <c r="A30" s="42" t="s">
        <v>36</v>
      </c>
      <c r="B30" s="51" t="s">
        <v>121</v>
      </c>
      <c r="D30" s="140">
        <f t="shared" si="0"/>
        <v>0</v>
      </c>
      <c r="E30" s="127" t="str">
        <f>Dolnośląski!E54</f>
        <v>-</v>
      </c>
      <c r="F30" s="127" t="str">
        <f>KujawskoPomorski!E54</f>
        <v>-</v>
      </c>
      <c r="G30" s="127" t="str">
        <f>Lubelski!E54</f>
        <v>-</v>
      </c>
      <c r="H30" s="127" t="str">
        <f>Lubuski!E54</f>
        <v>-</v>
      </c>
      <c r="I30" s="127" t="str">
        <f>Łódzki!E54</f>
        <v>-</v>
      </c>
      <c r="J30" s="127" t="str">
        <f>Małopolski!E54</f>
        <v>-</v>
      </c>
      <c r="K30" s="127" t="str">
        <f>Mazowiecki!E54</f>
        <v>-</v>
      </c>
      <c r="L30" s="127" t="str">
        <f>Opolski!E54</f>
        <v>-</v>
      </c>
      <c r="M30" s="127" t="str">
        <f>Podkarpacki!E54</f>
        <v>-</v>
      </c>
      <c r="N30" s="127" t="str">
        <f>Podlaski!E54</f>
        <v>-</v>
      </c>
      <c r="O30" s="127" t="str">
        <f>Pomorski!E54</f>
        <v>-</v>
      </c>
      <c r="P30" s="127" t="str">
        <f>Śląski!E54</f>
        <v>-</v>
      </c>
      <c r="Q30" s="127" t="str">
        <f>Świętokrzyski!E54</f>
        <v>-</v>
      </c>
      <c r="R30" s="127" t="str">
        <f>WarmińskoMazurski!E54</f>
        <v>-</v>
      </c>
      <c r="S30" s="127" t="str">
        <f>Wielkopolski!E54</f>
        <v>-</v>
      </c>
      <c r="T30" s="127" t="str">
        <f>Zachodniopomorski!E54</f>
        <v>-</v>
      </c>
    </row>
    <row r="31" spans="1:20" ht="23.25">
      <c r="A31" s="42" t="s">
        <v>120</v>
      </c>
      <c r="B31" s="51" t="s">
        <v>122</v>
      </c>
      <c r="D31" s="140">
        <f t="shared" si="0"/>
        <v>95</v>
      </c>
      <c r="E31" s="127" t="str">
        <f>Dolnośląski!E55</f>
        <v>-</v>
      </c>
      <c r="F31" s="127" t="str">
        <f>KujawskoPomorski!E55</f>
        <v>-</v>
      </c>
      <c r="G31" s="127" t="str">
        <f>Lubelski!E55</f>
        <v>-</v>
      </c>
      <c r="H31" s="127" t="str">
        <f>Lubuski!E55</f>
        <v>-</v>
      </c>
      <c r="I31" s="127" t="str">
        <f>Łódzki!E55</f>
        <v>-</v>
      </c>
      <c r="J31" s="127" t="str">
        <f>Małopolski!E55</f>
        <v>-</v>
      </c>
      <c r="K31" s="127" t="str">
        <f>Mazowiecki!E55</f>
        <v>-</v>
      </c>
      <c r="L31" s="127" t="str">
        <f>Opolski!E55</f>
        <v>-</v>
      </c>
      <c r="M31" s="127" t="str">
        <f>Podkarpacki!E55</f>
        <v>-</v>
      </c>
      <c r="N31" s="127" t="str">
        <f>Podlaski!E55</f>
        <v>-</v>
      </c>
      <c r="O31" s="127" t="str">
        <f>Pomorski!E55</f>
        <v>-</v>
      </c>
      <c r="P31" s="127" t="str">
        <f>Śląski!E55</f>
        <v>-</v>
      </c>
      <c r="Q31" s="127">
        <f>Świętokrzyski!E55</f>
        <v>100</v>
      </c>
      <c r="R31" s="127" t="str">
        <f>WarmińskoMazurski!E55</f>
        <v>-</v>
      </c>
      <c r="S31" s="127" t="str">
        <f>Wielkopolski!E55</f>
        <v>-</v>
      </c>
      <c r="T31" s="127">
        <f>Zachodniopomorski!E55</f>
        <v>-5</v>
      </c>
    </row>
    <row r="32" spans="1:20" ht="20.25">
      <c r="A32" s="44" t="s">
        <v>127</v>
      </c>
      <c r="B32" s="56" t="s">
        <v>154</v>
      </c>
      <c r="D32" s="143">
        <f t="shared" si="0"/>
        <v>165</v>
      </c>
      <c r="E32" s="142" t="str">
        <f>Dolnośląski!E56</f>
        <v>-</v>
      </c>
      <c r="F32" s="142" t="str">
        <f>KujawskoPomorski!E56</f>
        <v>-</v>
      </c>
      <c r="G32" s="142" t="str">
        <f>Lubelski!E56</f>
        <v>-</v>
      </c>
      <c r="H32" s="142">
        <f>Lubuski!E56</f>
        <v>165</v>
      </c>
      <c r="I32" s="142" t="str">
        <f>Łódzki!E56</f>
        <v>-</v>
      </c>
      <c r="J32" s="142" t="str">
        <f>Małopolski!E56</f>
        <v>-</v>
      </c>
      <c r="K32" s="142" t="str">
        <f>Mazowiecki!E56</f>
        <v>-</v>
      </c>
      <c r="L32" s="142" t="str">
        <f>Opolski!E56</f>
        <v>-</v>
      </c>
      <c r="M32" s="142" t="str">
        <f>Podkarpacki!E56</f>
        <v>-</v>
      </c>
      <c r="N32" s="142" t="str">
        <f>Podlaski!E56</f>
        <v>-</v>
      </c>
      <c r="O32" s="142" t="str">
        <f>Pomorski!E56</f>
        <v>-</v>
      </c>
      <c r="P32" s="142" t="str">
        <f>Śląski!E56</f>
        <v>-</v>
      </c>
      <c r="Q32" s="142" t="str">
        <f>Świętokrzyski!E56</f>
        <v>-</v>
      </c>
      <c r="R32" s="142" t="str">
        <f>WarmińskoMazurski!E56</f>
        <v>-</v>
      </c>
      <c r="S32" s="142" t="str">
        <f>Wielkopolski!E56</f>
        <v>-</v>
      </c>
      <c r="T32" s="142" t="str">
        <f>Zachodniopomorski!E56</f>
        <v>-</v>
      </c>
    </row>
  </sheetData>
  <sheetProtection/>
  <mergeCells count="1">
    <mergeCell ref="A1:B2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25390625" style="2" bestFit="1" customWidth="1"/>
    <col min="2" max="2" width="125.75390625" style="2" customWidth="1"/>
    <col min="3" max="4" width="24.75390625" style="2" customWidth="1"/>
    <col min="5" max="5" width="22.625" style="2" customWidth="1"/>
    <col min="6" max="6" width="20.125" style="2" customWidth="1"/>
    <col min="7" max="10" width="9.125" style="2" customWidth="1"/>
    <col min="11" max="11" width="11.375" style="134" bestFit="1" customWidth="1"/>
    <col min="12" max="16384" width="9.125" style="2" customWidth="1"/>
  </cols>
  <sheetData>
    <row r="1" spans="1:11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  <c r="K1" s="132"/>
    </row>
    <row r="2" spans="1:11" s="60" customFormat="1" ht="30.75" customHeight="1">
      <c r="A2" s="156" t="s">
        <v>88</v>
      </c>
      <c r="B2" s="156"/>
      <c r="C2" s="156"/>
      <c r="K2" s="133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11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  <c r="K4" s="135"/>
    </row>
    <row r="5" spans="1:11" s="6" customFormat="1" ht="33" customHeight="1">
      <c r="A5" s="157"/>
      <c r="B5" s="157"/>
      <c r="C5" s="154"/>
      <c r="D5" s="151"/>
      <c r="E5" s="152"/>
      <c r="F5" s="152"/>
      <c r="K5" s="135"/>
    </row>
    <row r="6" spans="1:11" s="4" customFormat="1" ht="18.75" customHeight="1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K6" s="135"/>
    </row>
    <row r="7" spans="1:11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54180761</v>
      </c>
      <c r="D7" s="16">
        <f>D8+D9+D10+D12+D13+D14+D15+D16+D17+D18+D19+D20+D21+D22+D24+D25+D26+D27</f>
        <v>56563405</v>
      </c>
      <c r="E7" s="13">
        <f>IF(C7=D7,"-",D7-C7)</f>
        <v>2382644</v>
      </c>
      <c r="F7" s="89">
        <f>IF(C7=0,"-",D7/C7)</f>
        <v>1.044</v>
      </c>
      <c r="G7" s="129"/>
      <c r="K7" s="136"/>
    </row>
    <row r="8" spans="1:7" ht="31.5" customHeight="1">
      <c r="A8" s="40" t="s">
        <v>1</v>
      </c>
      <c r="B8" s="100" t="s">
        <v>165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7225704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7274510</v>
      </c>
      <c r="E8" s="87">
        <f aca="true" t="shared" si="0" ref="E8:E46">IF(C8=D8,"-",D8-C8)</f>
        <v>48806</v>
      </c>
      <c r="F8" s="88">
        <f aca="true" t="shared" si="1" ref="F8:F46">IF(C8=0,"-",D8/C8)</f>
        <v>1.0068</v>
      </c>
      <c r="G8" s="129"/>
    </row>
    <row r="9" spans="1:7" ht="31.5" customHeight="1">
      <c r="A9" s="40" t="s">
        <v>2</v>
      </c>
      <c r="B9" s="100" t="s">
        <v>166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4158278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4227275</v>
      </c>
      <c r="E9" s="87">
        <f t="shared" si="0"/>
        <v>68997</v>
      </c>
      <c r="F9" s="88">
        <f t="shared" si="1"/>
        <v>1.0166</v>
      </c>
      <c r="G9" s="129"/>
    </row>
    <row r="10" spans="1:7" ht="31.5" customHeight="1">
      <c r="A10" s="40" t="s">
        <v>3</v>
      </c>
      <c r="B10" s="100" t="s">
        <v>157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25891214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26728906</v>
      </c>
      <c r="E10" s="87">
        <f t="shared" si="0"/>
        <v>837692</v>
      </c>
      <c r="F10" s="88">
        <f t="shared" si="1"/>
        <v>1.0324</v>
      </c>
      <c r="G10" s="129"/>
    </row>
    <row r="11" spans="1:7" ht="31.5" customHeight="1">
      <c r="A11" s="101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1499156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1643210</v>
      </c>
      <c r="E11" s="87">
        <f>IF(C11=D11,"-",D11-C11)</f>
        <v>144054</v>
      </c>
      <c r="F11" s="88">
        <f>IF(C11=0,"-",D11/C11)</f>
        <v>1.0961</v>
      </c>
      <c r="G11" s="129"/>
    </row>
    <row r="12" spans="1:7" ht="31.5" customHeight="1">
      <c r="A12" s="40" t="s">
        <v>4</v>
      </c>
      <c r="B12" s="100" t="s">
        <v>172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1961212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1986187</v>
      </c>
      <c r="E12" s="87">
        <f t="shared" si="0"/>
        <v>24975</v>
      </c>
      <c r="F12" s="88">
        <f t="shared" si="1"/>
        <v>1.0127</v>
      </c>
      <c r="G12" s="129"/>
    </row>
    <row r="13" spans="1:7" ht="31.5" customHeight="1">
      <c r="A13" s="40" t="s">
        <v>5</v>
      </c>
      <c r="B13" s="100" t="s">
        <v>167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1699606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1750140</v>
      </c>
      <c r="E13" s="87">
        <f t="shared" si="0"/>
        <v>50534</v>
      </c>
      <c r="F13" s="88">
        <f t="shared" si="1"/>
        <v>1.0297</v>
      </c>
      <c r="G13" s="129"/>
    </row>
    <row r="14" spans="1:7" ht="31.5" customHeight="1">
      <c r="A14" s="40" t="s">
        <v>6</v>
      </c>
      <c r="B14" s="100" t="s">
        <v>176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931195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947224</v>
      </c>
      <c r="E14" s="87">
        <f t="shared" si="0"/>
        <v>16029</v>
      </c>
      <c r="F14" s="88">
        <f t="shared" si="1"/>
        <v>1.0172</v>
      </c>
      <c r="G14" s="129"/>
    </row>
    <row r="15" spans="1:7" ht="31.5" customHeight="1">
      <c r="A15" s="40" t="s">
        <v>7</v>
      </c>
      <c r="B15" s="100" t="s">
        <v>175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275245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289095</v>
      </c>
      <c r="E15" s="87">
        <f>IF(C15=D15,"-",D15-C15)</f>
        <v>13850</v>
      </c>
      <c r="F15" s="88">
        <f>IF(C15=0,"-",D15/C15)</f>
        <v>1.0503</v>
      </c>
      <c r="G15" s="129"/>
    </row>
    <row r="16" spans="1:7" ht="31.5" customHeight="1">
      <c r="A16" s="40" t="s">
        <v>8</v>
      </c>
      <c r="B16" s="100" t="s">
        <v>168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1746292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1753170</v>
      </c>
      <c r="E16" s="87">
        <f t="shared" si="0"/>
        <v>6878</v>
      </c>
      <c r="F16" s="88">
        <f t="shared" si="1"/>
        <v>1.0039</v>
      </c>
      <c r="G16" s="129"/>
    </row>
    <row r="17" spans="1:7" ht="31.5" customHeight="1">
      <c r="A17" s="40" t="s">
        <v>9</v>
      </c>
      <c r="B17" s="100" t="s">
        <v>169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549796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550796</v>
      </c>
      <c r="E17" s="87">
        <f t="shared" si="0"/>
        <v>1000</v>
      </c>
      <c r="F17" s="88">
        <f t="shared" si="1"/>
        <v>1.0018</v>
      </c>
      <c r="G17" s="129"/>
    </row>
    <row r="18" spans="1:7" ht="33" customHeight="1">
      <c r="A18" s="40" t="s">
        <v>10</v>
      </c>
      <c r="B18" s="100" t="s">
        <v>177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37595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37745</v>
      </c>
      <c r="E18" s="87">
        <f t="shared" si="0"/>
        <v>150</v>
      </c>
      <c r="F18" s="88">
        <f t="shared" si="1"/>
        <v>1.004</v>
      </c>
      <c r="G18" s="129"/>
    </row>
    <row r="19" spans="1:7" ht="33" customHeight="1">
      <c r="A19" s="40" t="s">
        <v>11</v>
      </c>
      <c r="B19" s="100" t="s">
        <v>170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124286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136047</v>
      </c>
      <c r="E19" s="87">
        <f t="shared" si="0"/>
        <v>11761</v>
      </c>
      <c r="F19" s="88">
        <f t="shared" si="1"/>
        <v>1.0946</v>
      </c>
      <c r="G19" s="129"/>
    </row>
    <row r="20" spans="1:7" ht="31.5" customHeight="1">
      <c r="A20" s="40" t="s">
        <v>12</v>
      </c>
      <c r="B20" s="100" t="s">
        <v>171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1346291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1397642</v>
      </c>
      <c r="E20" s="87">
        <f t="shared" si="0"/>
        <v>51351</v>
      </c>
      <c r="F20" s="88">
        <f t="shared" si="1"/>
        <v>1.0381</v>
      </c>
      <c r="G20" s="129"/>
    </row>
    <row r="21" spans="1:7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567617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579917</v>
      </c>
      <c r="E21" s="87">
        <f t="shared" si="0"/>
        <v>12300</v>
      </c>
      <c r="F21" s="88">
        <f t="shared" si="1"/>
        <v>1.0217</v>
      </c>
      <c r="G21" s="129"/>
    </row>
    <row r="22" spans="1:7" ht="31.5" customHeight="1">
      <c r="A22" s="41" t="s">
        <v>15</v>
      </c>
      <c r="B22" s="100" t="s">
        <v>173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7596729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8495644</v>
      </c>
      <c r="E22" s="87">
        <f t="shared" si="0"/>
        <v>898915</v>
      </c>
      <c r="F22" s="88">
        <f t="shared" si="1"/>
        <v>1.1183</v>
      </c>
      <c r="G22" s="129"/>
    </row>
    <row r="23" spans="1:7" ht="31.5" customHeight="1">
      <c r="A23" s="39" t="s">
        <v>178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24690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26290</v>
      </c>
      <c r="E23" s="87">
        <f t="shared" si="0"/>
        <v>1600</v>
      </c>
      <c r="F23" s="88">
        <f t="shared" si="1"/>
        <v>1.0648</v>
      </c>
      <c r="G23" s="129"/>
    </row>
    <row r="24" spans="1:7" ht="33" customHeight="1">
      <c r="A24" s="42" t="s">
        <v>16</v>
      </c>
      <c r="B24" s="47" t="s">
        <v>140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7" t="str">
        <f>IF(C24=D24,"-",D24-C24)</f>
        <v>-</v>
      </c>
      <c r="F24" s="88" t="str">
        <f>IF(C24=0,"-",D24/C24)</f>
        <v>-</v>
      </c>
      <c r="G24" s="129"/>
    </row>
    <row r="25" spans="1:7" ht="33" customHeight="1">
      <c r="A25" s="42" t="s">
        <v>137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7" t="str">
        <f>IF(C25=D25,"-",D25-C25)</f>
        <v>-</v>
      </c>
      <c r="F25" s="88" t="str">
        <f>IF(C25=0,"-",D25/C25)</f>
        <v>-</v>
      </c>
      <c r="G25" s="129"/>
    </row>
    <row r="26" spans="1:7" ht="33" customHeight="1">
      <c r="A26" s="42" t="s">
        <v>138</v>
      </c>
      <c r="B26" s="48" t="s">
        <v>141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87" t="str">
        <f>IF(C26=D26,"-",D26-C26)</f>
        <v>-</v>
      </c>
      <c r="F26" s="88" t="str">
        <f>IF(C26=0,"-",D26/C26)</f>
        <v>-</v>
      </c>
      <c r="G26" s="129"/>
    </row>
    <row r="27" spans="1:7" ht="33" customHeight="1">
      <c r="A27" s="42" t="s">
        <v>139</v>
      </c>
      <c r="B27" s="51" t="s">
        <v>142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69701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409107</v>
      </c>
      <c r="E27" s="87">
        <f>IF(C27=D27,"-",D27-C27)</f>
        <v>339406</v>
      </c>
      <c r="F27" s="88">
        <f>IF(C27=0,"-",D27/C27)</f>
        <v>5.8695</v>
      </c>
      <c r="G27" s="129"/>
    </row>
    <row r="28" spans="1:11" s="5" customFormat="1" ht="31.5" customHeight="1">
      <c r="A28" s="43" t="s">
        <v>68</v>
      </c>
      <c r="B28" s="49" t="s">
        <v>69</v>
      </c>
      <c r="C28" s="113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15" t="str">
        <f t="shared" si="0"/>
        <v>-</v>
      </c>
      <c r="F28" s="116" t="str">
        <f t="shared" si="1"/>
        <v>-</v>
      </c>
      <c r="G28" s="129"/>
      <c r="K28" s="137"/>
    </row>
    <row r="29" spans="1:11" s="5" customFormat="1" ht="31.5" customHeight="1">
      <c r="A29" s="43" t="s">
        <v>67</v>
      </c>
      <c r="B29" s="49" t="s">
        <v>70</v>
      </c>
      <c r="C29" s="113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1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15" t="str">
        <f t="shared" si="0"/>
        <v>-</v>
      </c>
      <c r="F29" s="116">
        <f t="shared" si="1"/>
        <v>1</v>
      </c>
      <c r="G29" s="129"/>
      <c r="K29" s="137"/>
    </row>
    <row r="30" spans="1:11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466022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466022</v>
      </c>
      <c r="E30" s="13" t="str">
        <f t="shared" si="0"/>
        <v>-</v>
      </c>
      <c r="F30" s="89">
        <f t="shared" si="1"/>
        <v>1</v>
      </c>
      <c r="G30" s="129"/>
      <c r="K30" s="136"/>
    </row>
    <row r="31" spans="1:7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17381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17381</v>
      </c>
      <c r="E31" s="87" t="str">
        <f t="shared" si="0"/>
        <v>-</v>
      </c>
      <c r="F31" s="88">
        <f t="shared" si="1"/>
        <v>1</v>
      </c>
      <c r="G31" s="129"/>
    </row>
    <row r="32" spans="1:7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55882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55882</v>
      </c>
      <c r="E32" s="87" t="str">
        <f t="shared" si="0"/>
        <v>-</v>
      </c>
      <c r="F32" s="88">
        <f t="shared" si="1"/>
        <v>1</v>
      </c>
      <c r="G32" s="129"/>
    </row>
    <row r="33" spans="1:7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3518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3518</v>
      </c>
      <c r="E33" s="87" t="str">
        <f t="shared" si="0"/>
        <v>-</v>
      </c>
      <c r="F33" s="88">
        <f t="shared" si="1"/>
        <v>1</v>
      </c>
      <c r="G33" s="129"/>
    </row>
    <row r="34" spans="1:7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438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438</v>
      </c>
      <c r="E34" s="87" t="str">
        <f t="shared" si="0"/>
        <v>-</v>
      </c>
      <c r="F34" s="88">
        <f t="shared" si="1"/>
        <v>1</v>
      </c>
      <c r="G34" s="129"/>
    </row>
    <row r="35" spans="1:7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415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415</v>
      </c>
      <c r="E35" s="87" t="str">
        <f t="shared" si="0"/>
        <v>-</v>
      </c>
      <c r="F35" s="88">
        <f t="shared" si="1"/>
        <v>1</v>
      </c>
      <c r="G35" s="129"/>
    </row>
    <row r="36" spans="1:7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94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94</v>
      </c>
      <c r="E36" s="87" t="str">
        <f t="shared" si="0"/>
        <v>-</v>
      </c>
      <c r="F36" s="88">
        <f t="shared" si="1"/>
        <v>1</v>
      </c>
      <c r="G36" s="129"/>
    </row>
    <row r="37" spans="1:7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18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18</v>
      </c>
      <c r="E37" s="87" t="str">
        <f t="shared" si="0"/>
        <v>-</v>
      </c>
      <c r="F37" s="88">
        <f t="shared" si="1"/>
        <v>1</v>
      </c>
      <c r="G37" s="129"/>
    </row>
    <row r="38" spans="1:7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7" t="str">
        <f t="shared" si="0"/>
        <v>-</v>
      </c>
      <c r="F38" s="88" t="str">
        <f t="shared" si="1"/>
        <v>-</v>
      </c>
      <c r="G38" s="129"/>
    </row>
    <row r="39" spans="1:7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2758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2758</v>
      </c>
      <c r="E39" s="87" t="str">
        <f t="shared" si="0"/>
        <v>-</v>
      </c>
      <c r="F39" s="88">
        <f t="shared" si="1"/>
        <v>1</v>
      </c>
      <c r="G39" s="129"/>
    </row>
    <row r="40" spans="1:7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210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210</v>
      </c>
      <c r="E40" s="87" t="str">
        <f t="shared" si="0"/>
        <v>-</v>
      </c>
      <c r="F40" s="88">
        <f t="shared" si="1"/>
        <v>1</v>
      </c>
      <c r="G40" s="129"/>
    </row>
    <row r="41" spans="1:7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269491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269491</v>
      </c>
      <c r="E41" s="87" t="str">
        <f t="shared" si="0"/>
        <v>-</v>
      </c>
      <c r="F41" s="88">
        <f t="shared" si="1"/>
        <v>1</v>
      </c>
      <c r="G41" s="129"/>
    </row>
    <row r="42" spans="1:7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54381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54381</v>
      </c>
      <c r="E42" s="87" t="str">
        <f t="shared" si="0"/>
        <v>-</v>
      </c>
      <c r="F42" s="88">
        <f t="shared" si="1"/>
        <v>1</v>
      </c>
      <c r="G42" s="129"/>
    </row>
    <row r="43" spans="1:7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40740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40740</v>
      </c>
      <c r="E43" s="87" t="str">
        <f t="shared" si="0"/>
        <v>-</v>
      </c>
      <c r="F43" s="88">
        <f t="shared" si="1"/>
        <v>1</v>
      </c>
      <c r="G43" s="129"/>
    </row>
    <row r="44" spans="1:7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6603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6603</v>
      </c>
      <c r="E44" s="87" t="str">
        <f t="shared" si="0"/>
        <v>-</v>
      </c>
      <c r="F44" s="88">
        <f t="shared" si="1"/>
        <v>1</v>
      </c>
      <c r="G44" s="129"/>
    </row>
    <row r="45" spans="1:7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7" t="str">
        <f t="shared" si="0"/>
        <v>-</v>
      </c>
      <c r="F45" s="88" t="str">
        <f t="shared" si="1"/>
        <v>-</v>
      </c>
      <c r="G45" s="129"/>
    </row>
    <row r="46" spans="1:7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7038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7038</v>
      </c>
      <c r="E46" s="87" t="str">
        <f t="shared" si="0"/>
        <v>-</v>
      </c>
      <c r="F46" s="88">
        <f t="shared" si="1"/>
        <v>1</v>
      </c>
      <c r="G46" s="129"/>
    </row>
    <row r="47" spans="1:7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7" t="str">
        <f aca="true" t="shared" si="2" ref="E47:E55">IF(C47=D47,"-",D47-C47)</f>
        <v>-</v>
      </c>
      <c r="F47" s="88" t="str">
        <f aca="true" t="shared" si="3" ref="F47:F55">IF(C47=0,"-",D47/C47)</f>
        <v>-</v>
      </c>
      <c r="G47" s="129"/>
    </row>
    <row r="48" spans="1:7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57851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57851</v>
      </c>
      <c r="E48" s="87" t="str">
        <f t="shared" si="2"/>
        <v>-</v>
      </c>
      <c r="F48" s="90">
        <f t="shared" si="3"/>
        <v>1</v>
      </c>
      <c r="G48" s="129"/>
    </row>
    <row r="49" spans="1:7" ht="33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3366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3366</v>
      </c>
      <c r="E49" s="87" t="str">
        <f t="shared" si="2"/>
        <v>-</v>
      </c>
      <c r="F49" s="90">
        <f t="shared" si="3"/>
        <v>1</v>
      </c>
      <c r="G49" s="129"/>
    </row>
    <row r="50" spans="1:7" ht="33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4152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4152</v>
      </c>
      <c r="E50" s="87" t="str">
        <f t="shared" si="2"/>
        <v>-</v>
      </c>
      <c r="F50" s="88">
        <f t="shared" si="3"/>
        <v>1</v>
      </c>
      <c r="G50" s="129"/>
    </row>
    <row r="51" spans="1:11" s="3" customFormat="1" ht="30" customHeight="1">
      <c r="A51" s="44" t="s">
        <v>34</v>
      </c>
      <c r="B51" s="56" t="s">
        <v>174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226262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262262</v>
      </c>
      <c r="E51" s="13">
        <f t="shared" si="2"/>
        <v>36000</v>
      </c>
      <c r="F51" s="91">
        <f t="shared" si="3"/>
        <v>1.1591</v>
      </c>
      <c r="G51" s="129"/>
      <c r="K51" s="136"/>
    </row>
    <row r="52" spans="1:7" ht="42" customHeight="1">
      <c r="A52" s="42" t="s">
        <v>119</v>
      </c>
      <c r="B52" s="51" t="s">
        <v>144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12059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12064</v>
      </c>
      <c r="E52" s="87">
        <f t="shared" si="2"/>
        <v>5</v>
      </c>
      <c r="F52" s="88">
        <f t="shared" si="3"/>
        <v>1.0004</v>
      </c>
      <c r="G52" s="129"/>
    </row>
    <row r="53" spans="1:7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199619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235519</v>
      </c>
      <c r="E53" s="87">
        <f t="shared" si="2"/>
        <v>35900</v>
      </c>
      <c r="F53" s="88">
        <f t="shared" si="3"/>
        <v>1.1798</v>
      </c>
      <c r="G53" s="129"/>
    </row>
    <row r="54" spans="1:7" ht="31.5" customHeight="1">
      <c r="A54" s="42" t="s">
        <v>36</v>
      </c>
      <c r="B54" s="51" t="s">
        <v>121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7" t="str">
        <f t="shared" si="2"/>
        <v>-</v>
      </c>
      <c r="F54" s="88" t="str">
        <f t="shared" si="3"/>
        <v>-</v>
      </c>
      <c r="G54" s="129"/>
    </row>
    <row r="55" spans="1:7" ht="31.5" customHeight="1">
      <c r="A55" s="42" t="s">
        <v>120</v>
      </c>
      <c r="B55" s="51" t="s">
        <v>122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14584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14679</v>
      </c>
      <c r="E55" s="87">
        <f t="shared" si="2"/>
        <v>95</v>
      </c>
      <c r="F55" s="88">
        <f t="shared" si="3"/>
        <v>1.0065</v>
      </c>
      <c r="G55" s="129"/>
    </row>
    <row r="56" spans="1:7" ht="32.25" customHeight="1">
      <c r="A56" s="44" t="s">
        <v>127</v>
      </c>
      <c r="B56" s="56" t="s">
        <v>154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38225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38390</v>
      </c>
      <c r="E56" s="13">
        <f>IF(C56=D56,"-",D56-C56)</f>
        <v>165</v>
      </c>
      <c r="F56" s="91">
        <f>IF(C56=0,"-",D56/C56)</f>
        <v>1.0043</v>
      </c>
      <c r="G56" s="129"/>
    </row>
    <row r="74" ht="27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ySplit="7" topLeftCell="A8" activePane="bottomLeft" state="frozen"/>
      <selection pane="topLeft" activeCell="C83" sqref="C83"/>
      <selection pane="bottomLef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71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4152186</v>
      </c>
      <c r="D7" s="16">
        <f>D8+D9+D10+D12+D13+D14+D15+D16+D17+D18+D19+D20+D21+D22+D24+D25+D26+D27</f>
        <v>4334119</v>
      </c>
      <c r="E7" s="13">
        <f>IF(C7=D7,"-",D7-C7)</f>
        <v>181933</v>
      </c>
      <c r="F7" s="86">
        <f>IF(C7=0,"-",D7/C7)</f>
        <v>1.044</v>
      </c>
      <c r="H7" s="118"/>
    </row>
    <row r="8" spans="1:8" ht="31.5" customHeight="1">
      <c r="A8" s="40" t="s">
        <v>1</v>
      </c>
      <c r="B8" s="100" t="s">
        <v>165</v>
      </c>
      <c r="C8" s="107">
        <v>541244</v>
      </c>
      <c r="D8" s="36">
        <f>C8+8306</f>
        <v>549550</v>
      </c>
      <c r="E8" s="87">
        <f aca="true" t="shared" si="0" ref="E8:E29">IF(C8=D8,"-",D8-C8)</f>
        <v>8306</v>
      </c>
      <c r="F8" s="88">
        <f aca="true" t="shared" si="1" ref="F8:F46">IF(C8=0,"-",D8/C8)</f>
        <v>1.0153</v>
      </c>
      <c r="H8" s="118"/>
    </row>
    <row r="9" spans="1:8" ht="31.5" customHeight="1">
      <c r="A9" s="40" t="s">
        <v>2</v>
      </c>
      <c r="B9" s="100" t="s">
        <v>166</v>
      </c>
      <c r="C9" s="107">
        <v>329097</v>
      </c>
      <c r="D9" s="36">
        <f>C9+5000</f>
        <v>334097</v>
      </c>
      <c r="E9" s="87">
        <f t="shared" si="0"/>
        <v>5000</v>
      </c>
      <c r="F9" s="88">
        <f t="shared" si="1"/>
        <v>1.0152</v>
      </c>
      <c r="H9" s="118"/>
    </row>
    <row r="10" spans="1:8" ht="31.5" customHeight="1">
      <c r="A10" s="40" t="s">
        <v>3</v>
      </c>
      <c r="B10" s="100" t="s">
        <v>157</v>
      </c>
      <c r="C10" s="107">
        <v>1954430</v>
      </c>
      <c r="D10" s="36">
        <f>C10+65034</f>
        <v>2019464</v>
      </c>
      <c r="E10" s="87">
        <f t="shared" si="0"/>
        <v>65034</v>
      </c>
      <c r="F10" s="88">
        <f t="shared" si="1"/>
        <v>1.0333</v>
      </c>
      <c r="H10" s="118"/>
    </row>
    <row r="11" spans="1:8" ht="31.5" customHeight="1">
      <c r="A11" s="101" t="s">
        <v>64</v>
      </c>
      <c r="B11" s="45" t="s">
        <v>65</v>
      </c>
      <c r="C11" s="107">
        <v>109515</v>
      </c>
      <c r="D11" s="36">
        <f>C11+20000</f>
        <v>129515</v>
      </c>
      <c r="E11" s="87">
        <f t="shared" si="0"/>
        <v>20000</v>
      </c>
      <c r="F11" s="88">
        <f t="shared" si="1"/>
        <v>1.1826</v>
      </c>
      <c r="H11" s="118"/>
    </row>
    <row r="12" spans="1:8" ht="31.5" customHeight="1">
      <c r="A12" s="40" t="s">
        <v>4</v>
      </c>
      <c r="B12" s="100" t="s">
        <v>172</v>
      </c>
      <c r="C12" s="107">
        <v>153706</v>
      </c>
      <c r="D12" s="36">
        <f>C12+4000</f>
        <v>157706</v>
      </c>
      <c r="E12" s="87">
        <f t="shared" si="0"/>
        <v>4000</v>
      </c>
      <c r="F12" s="88">
        <f t="shared" si="1"/>
        <v>1.026</v>
      </c>
      <c r="H12" s="118"/>
    </row>
    <row r="13" spans="1:8" ht="31.5" customHeight="1">
      <c r="A13" s="40" t="s">
        <v>5</v>
      </c>
      <c r="B13" s="100" t="s">
        <v>167</v>
      </c>
      <c r="C13" s="107">
        <v>135069</v>
      </c>
      <c r="D13" s="36">
        <f>C13+5000</f>
        <v>140069</v>
      </c>
      <c r="E13" s="87">
        <f t="shared" si="0"/>
        <v>5000</v>
      </c>
      <c r="F13" s="88">
        <f t="shared" si="1"/>
        <v>1.037</v>
      </c>
      <c r="H13" s="118"/>
    </row>
    <row r="14" spans="1:8" ht="31.5" customHeight="1">
      <c r="A14" s="40" t="s">
        <v>6</v>
      </c>
      <c r="B14" s="100" t="s">
        <v>176</v>
      </c>
      <c r="C14" s="107">
        <v>81490</v>
      </c>
      <c r="D14" s="36">
        <f>C14+3000</f>
        <v>84490</v>
      </c>
      <c r="E14" s="87">
        <f t="shared" si="0"/>
        <v>3000</v>
      </c>
      <c r="F14" s="88">
        <f t="shared" si="1"/>
        <v>1.0368</v>
      </c>
      <c r="H14" s="118"/>
    </row>
    <row r="15" spans="1:8" ht="31.5" customHeight="1">
      <c r="A15" s="40" t="s">
        <v>7</v>
      </c>
      <c r="B15" s="100" t="s">
        <v>175</v>
      </c>
      <c r="C15" s="107">
        <v>16892</v>
      </c>
      <c r="D15" s="36">
        <f>C15+2500</f>
        <v>19392</v>
      </c>
      <c r="E15" s="87">
        <f>IF(C15=D15,"-",D15-C15)</f>
        <v>2500</v>
      </c>
      <c r="F15" s="88">
        <f>IF(C15=0,"-",D15/C15)</f>
        <v>1.148</v>
      </c>
      <c r="H15" s="118"/>
    </row>
    <row r="16" spans="1:8" ht="31.5" customHeight="1">
      <c r="A16" s="40" t="s">
        <v>8</v>
      </c>
      <c r="B16" s="100" t="s">
        <v>168</v>
      </c>
      <c r="C16" s="107">
        <v>121155</v>
      </c>
      <c r="D16" s="36">
        <f>C16+3500</f>
        <v>124655</v>
      </c>
      <c r="E16" s="87">
        <f t="shared" si="0"/>
        <v>3500</v>
      </c>
      <c r="F16" s="88">
        <f t="shared" si="1"/>
        <v>1.0289</v>
      </c>
      <c r="H16" s="118"/>
    </row>
    <row r="17" spans="1:8" ht="31.5" customHeight="1">
      <c r="A17" s="40" t="s">
        <v>9</v>
      </c>
      <c r="B17" s="100" t="s">
        <v>169</v>
      </c>
      <c r="C17" s="107">
        <v>52000</v>
      </c>
      <c r="D17" s="36">
        <f>C17</f>
        <v>52000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3700</v>
      </c>
      <c r="D18" s="36">
        <f>C18</f>
        <v>3700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13384</v>
      </c>
      <c r="D19" s="36">
        <f>C19</f>
        <v>13384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105426</v>
      </c>
      <c r="D20" s="36">
        <f>C20+3000</f>
        <v>108426</v>
      </c>
      <c r="E20" s="87">
        <f t="shared" si="0"/>
        <v>3000</v>
      </c>
      <c r="F20" s="88">
        <f t="shared" si="1"/>
        <v>1.0285</v>
      </c>
      <c r="H20" s="118"/>
    </row>
    <row r="21" spans="1:8" ht="31.5" customHeight="1">
      <c r="A21" s="40" t="s">
        <v>14</v>
      </c>
      <c r="B21" s="46" t="s">
        <v>13</v>
      </c>
      <c r="C21" s="107">
        <v>45250</v>
      </c>
      <c r="D21" s="36">
        <f>C21+500</f>
        <v>45750</v>
      </c>
      <c r="E21" s="87">
        <f t="shared" si="0"/>
        <v>500</v>
      </c>
      <c r="F21" s="88">
        <f t="shared" si="1"/>
        <v>1.011</v>
      </c>
      <c r="H21" s="118"/>
    </row>
    <row r="22" spans="1:8" ht="31.5" customHeight="1">
      <c r="A22" s="41" t="s">
        <v>15</v>
      </c>
      <c r="B22" s="100" t="s">
        <v>173</v>
      </c>
      <c r="C22" s="107">
        <v>589390</v>
      </c>
      <c r="D22" s="36">
        <f>C22+41093</f>
        <v>630483</v>
      </c>
      <c r="E22" s="87">
        <f t="shared" si="0"/>
        <v>41093</v>
      </c>
      <c r="F22" s="88">
        <f t="shared" si="1"/>
        <v>1.0697</v>
      </c>
      <c r="H22" s="118"/>
    </row>
    <row r="23" spans="1:8" ht="31.5" customHeight="1">
      <c r="A23" s="39" t="s">
        <v>178</v>
      </c>
      <c r="B23" s="45" t="s">
        <v>66</v>
      </c>
      <c r="C23" s="107">
        <v>2901</v>
      </c>
      <c r="D23" s="36">
        <f aca="true" t="shared" si="2" ref="D23:D28">C23</f>
        <v>2901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2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 t="shared" si="2"/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 t="shared" si="2"/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9953</v>
      </c>
      <c r="D27" s="36">
        <f>C27+41000</f>
        <v>50953</v>
      </c>
      <c r="E27" s="87">
        <f>IF(C27=D27,"-",D27-C27)</f>
        <v>41000</v>
      </c>
      <c r="F27" s="88">
        <f>IF(C27=0,"-",D27/C27)</f>
        <v>5.1194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 t="shared" si="2"/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131345</v>
      </c>
      <c r="D29" s="115">
        <v>131345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8">
        <f>C31+C32+C33+C41+C42+C48+C49+C50+C47</f>
        <v>32652</v>
      </c>
      <c r="D30" s="34">
        <f>D31+D32+D33+D41+D42+D48+D49+D50+D47</f>
        <v>32652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1300</v>
      </c>
      <c r="D31" s="35">
        <f>C31</f>
        <v>1300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4030</v>
      </c>
      <c r="D32" s="35">
        <f>C32</f>
        <v>4030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274</v>
      </c>
      <c r="D33" s="35">
        <f>D34+D36+D37+D38+D39+D40</f>
        <v>274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77</v>
      </c>
      <c r="D34" s="35">
        <f>C34</f>
        <v>77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57</v>
      </c>
      <c r="D35" s="35">
        <f>C35</f>
        <v>57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13</v>
      </c>
      <c r="D36" s="35">
        <f>C36</f>
        <v>13</v>
      </c>
      <c r="E36" s="87" t="str">
        <f t="shared" si="3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1</v>
      </c>
      <c r="D37" s="35">
        <f aca="true" t="shared" si="4" ref="D37:D47">C37</f>
        <v>1</v>
      </c>
      <c r="E37" s="87" t="str">
        <f t="shared" si="3"/>
        <v>-</v>
      </c>
      <c r="F37" s="88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182</v>
      </c>
      <c r="D39" s="35">
        <f t="shared" si="4"/>
        <v>182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</v>
      </c>
      <c r="D40" s="35">
        <f t="shared" si="4"/>
        <v>1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19431</v>
      </c>
      <c r="D41" s="35">
        <f t="shared" si="4"/>
        <v>19431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3922</v>
      </c>
      <c r="D42" s="35">
        <f>SUM(D43:D46)</f>
        <v>3922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2892</v>
      </c>
      <c r="D43" s="35">
        <f>C43</f>
        <v>2892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476</v>
      </c>
      <c r="D44" s="35">
        <f>C44</f>
        <v>476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554</v>
      </c>
      <c r="D46" s="35">
        <f>C46</f>
        <v>554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2850</v>
      </c>
      <c r="D48" s="35">
        <f>C48</f>
        <v>2850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560</v>
      </c>
      <c r="D49" s="35">
        <f>C49</f>
        <v>560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285</v>
      </c>
      <c r="D50" s="35">
        <f>C50</f>
        <v>285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16166</v>
      </c>
      <c r="D51" s="38">
        <f>SUM(D52:D55)</f>
        <v>16166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8</v>
      </c>
      <c r="D52" s="35">
        <f>C52</f>
        <v>8</v>
      </c>
      <c r="E52" s="92" t="str">
        <f>IF(C52=D52,"-",D52-C52)</f>
        <v>-</v>
      </c>
      <c r="F52" s="8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16058</v>
      </c>
      <c r="D53" s="35">
        <f>C53</f>
        <v>16058</v>
      </c>
      <c r="E53" s="92" t="str">
        <f>IF(C53=D53,"-",D53-C53)</f>
        <v>-</v>
      </c>
      <c r="F53" s="8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8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</v>
      </c>
      <c r="D55" s="35">
        <f>C55</f>
        <v>100</v>
      </c>
      <c r="E55" s="92" t="str">
        <f>IF(C55=D55,"-",D55-C55)</f>
        <v>-</v>
      </c>
      <c r="F55" s="8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1244</v>
      </c>
      <c r="D56" s="38">
        <f>C56</f>
        <v>1244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72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2850486</v>
      </c>
      <c r="D7" s="16">
        <f>D8+D9+D10+D12+D13+D14+D15+D16+D17+D18+D19+D20+D21+D22+D24+D25+D26+D27</f>
        <v>2979975</v>
      </c>
      <c r="E7" s="13">
        <f>IF(C7=D7,"-",D7-C7)</f>
        <v>129489</v>
      </c>
      <c r="F7" s="86">
        <f>IF(C7=0,"-",D7/C7)</f>
        <v>1.045</v>
      </c>
      <c r="H7" s="118"/>
    </row>
    <row r="8" spans="1:8" ht="31.5" customHeight="1">
      <c r="A8" s="40" t="s">
        <v>1</v>
      </c>
      <c r="B8" s="100" t="s">
        <v>165</v>
      </c>
      <c r="C8" s="107">
        <v>397538</v>
      </c>
      <c r="D8" s="36">
        <f>C8+2000</f>
        <v>399538</v>
      </c>
      <c r="E8" s="87">
        <f aca="true" t="shared" si="0" ref="E8:E29">IF(C8=D8,"-",D8-C8)</f>
        <v>2000</v>
      </c>
      <c r="F8" s="88">
        <f aca="true" t="shared" si="1" ref="F8:F46">IF(C8=0,"-",D8/C8)</f>
        <v>1.005</v>
      </c>
      <c r="H8" s="118"/>
    </row>
    <row r="9" spans="1:8" ht="31.5" customHeight="1">
      <c r="A9" s="40" t="s">
        <v>2</v>
      </c>
      <c r="B9" s="100" t="s">
        <v>166</v>
      </c>
      <c r="C9" s="107">
        <v>214415</v>
      </c>
      <c r="D9" s="36">
        <f>C9+2000</f>
        <v>216415</v>
      </c>
      <c r="E9" s="87">
        <f t="shared" si="0"/>
        <v>2000</v>
      </c>
      <c r="F9" s="88">
        <f t="shared" si="1"/>
        <v>1.0093</v>
      </c>
      <c r="H9" s="118"/>
    </row>
    <row r="10" spans="1:8" ht="31.5" customHeight="1">
      <c r="A10" s="40" t="s">
        <v>3</v>
      </c>
      <c r="B10" s="100" t="s">
        <v>157</v>
      </c>
      <c r="C10" s="107">
        <v>1392286</v>
      </c>
      <c r="D10" s="36">
        <f>C10+18331</f>
        <v>1410617</v>
      </c>
      <c r="E10" s="87">
        <f t="shared" si="0"/>
        <v>18331</v>
      </c>
      <c r="F10" s="88">
        <f t="shared" si="1"/>
        <v>1.0132</v>
      </c>
      <c r="H10" s="118"/>
    </row>
    <row r="11" spans="1:8" ht="31.5" customHeight="1">
      <c r="A11" s="101" t="s">
        <v>64</v>
      </c>
      <c r="B11" s="45" t="s">
        <v>65</v>
      </c>
      <c r="C11" s="107">
        <v>75579</v>
      </c>
      <c r="D11" s="36">
        <f>C11+8000</f>
        <v>83579</v>
      </c>
      <c r="E11" s="87">
        <f t="shared" si="0"/>
        <v>8000</v>
      </c>
      <c r="F11" s="88">
        <f t="shared" si="1"/>
        <v>1.1058</v>
      </c>
      <c r="H11" s="118"/>
    </row>
    <row r="12" spans="1:8" ht="31.5" customHeight="1">
      <c r="A12" s="40" t="s">
        <v>4</v>
      </c>
      <c r="B12" s="100" t="s">
        <v>172</v>
      </c>
      <c r="C12" s="107">
        <v>96726</v>
      </c>
      <c r="D12" s="36">
        <f aca="true" t="shared" si="2" ref="D12:D23">C12</f>
        <v>96726</v>
      </c>
      <c r="E12" s="87" t="str">
        <f t="shared" si="0"/>
        <v>-</v>
      </c>
      <c r="F12" s="88">
        <f t="shared" si="1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74358</v>
      </c>
      <c r="D13" s="36">
        <f t="shared" si="2"/>
        <v>74358</v>
      </c>
      <c r="E13" s="87" t="str">
        <f t="shared" si="0"/>
        <v>-</v>
      </c>
      <c r="F13" s="88">
        <f t="shared" si="1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34553</v>
      </c>
      <c r="D14" s="36">
        <f>C14+500</f>
        <v>35053</v>
      </c>
      <c r="E14" s="87">
        <f t="shared" si="0"/>
        <v>500</v>
      </c>
      <c r="F14" s="88">
        <f t="shared" si="1"/>
        <v>1.0145</v>
      </c>
      <c r="H14" s="118"/>
    </row>
    <row r="15" spans="1:8" ht="31.5" customHeight="1">
      <c r="A15" s="40" t="s">
        <v>7</v>
      </c>
      <c r="B15" s="100" t="s">
        <v>175</v>
      </c>
      <c r="C15" s="107">
        <v>23301</v>
      </c>
      <c r="D15" s="36">
        <f t="shared" si="2"/>
        <v>23301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97495</v>
      </c>
      <c r="D16" s="36">
        <f t="shared" si="2"/>
        <v>97495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28698</v>
      </c>
      <c r="D17" s="36">
        <f t="shared" si="2"/>
        <v>28698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2270</v>
      </c>
      <c r="D18" s="36">
        <f t="shared" si="2"/>
        <v>2270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8107</v>
      </c>
      <c r="D19" s="36">
        <f t="shared" si="2"/>
        <v>8107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76252</v>
      </c>
      <c r="D20" s="36">
        <f t="shared" si="2"/>
        <v>76252</v>
      </c>
      <c r="E20" s="87" t="str">
        <f t="shared" si="0"/>
        <v>-</v>
      </c>
      <c r="F20" s="88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28620</v>
      </c>
      <c r="D21" s="36">
        <f>C21+3500</f>
        <v>32120</v>
      </c>
      <c r="E21" s="87">
        <f t="shared" si="0"/>
        <v>3500</v>
      </c>
      <c r="F21" s="88">
        <f t="shared" si="1"/>
        <v>1.1223</v>
      </c>
      <c r="H21" s="118"/>
    </row>
    <row r="22" spans="1:8" ht="31.5" customHeight="1">
      <c r="A22" s="41" t="s">
        <v>15</v>
      </c>
      <c r="B22" s="100" t="s">
        <v>173</v>
      </c>
      <c r="C22" s="107">
        <v>375530</v>
      </c>
      <c r="D22" s="36">
        <f>C22+98915</f>
        <v>474445</v>
      </c>
      <c r="E22" s="87">
        <f t="shared" si="0"/>
        <v>98915</v>
      </c>
      <c r="F22" s="88">
        <f t="shared" si="1"/>
        <v>1.2634</v>
      </c>
      <c r="H22" s="118"/>
    </row>
    <row r="23" spans="1:8" ht="31.5" customHeight="1">
      <c r="A23" s="39" t="s">
        <v>178</v>
      </c>
      <c r="B23" s="45" t="s">
        <v>66</v>
      </c>
      <c r="C23" s="107">
        <v>711</v>
      </c>
      <c r="D23" s="36">
        <f t="shared" si="2"/>
        <v>711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337</v>
      </c>
      <c r="D27" s="36">
        <f>C27+4243</f>
        <v>4580</v>
      </c>
      <c r="E27" s="87">
        <f>IF(C27=D27,"-",D27-C27)</f>
        <v>4243</v>
      </c>
      <c r="F27" s="88">
        <f>IF(C27=0,"-",D27/C27)</f>
        <v>13.5905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11">
        <v>102965</v>
      </c>
      <c r="D29" s="115">
        <v>102965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25667</v>
      </c>
      <c r="D30" s="34">
        <f>D31+D32+D33+D41+D42+D48+D49+D50+D47</f>
        <v>25667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822</v>
      </c>
      <c r="D31" s="35">
        <f>C31</f>
        <v>822</v>
      </c>
      <c r="E31" s="87" t="str">
        <f aca="true" t="shared" si="3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3263</v>
      </c>
      <c r="D32" s="35">
        <f>C32</f>
        <v>3263</v>
      </c>
      <c r="E32" s="87" t="str">
        <f t="shared" si="3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149</v>
      </c>
      <c r="D33" s="35">
        <f aca="true" t="shared" si="4" ref="D33:D50">C33</f>
        <v>149</v>
      </c>
      <c r="E33" s="87" t="str">
        <f t="shared" si="3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20</v>
      </c>
      <c r="D34" s="35">
        <f t="shared" si="4"/>
        <v>20</v>
      </c>
      <c r="E34" s="87" t="str">
        <f t="shared" si="3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20</v>
      </c>
      <c r="D35" s="35">
        <f t="shared" si="4"/>
        <v>20</v>
      </c>
      <c r="E35" s="87" t="str">
        <f t="shared" si="3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4</v>
      </c>
      <c r="D36" s="35">
        <f t="shared" si="4"/>
        <v>4</v>
      </c>
      <c r="E36" s="87" t="str">
        <f t="shared" si="3"/>
        <v>-</v>
      </c>
      <c r="F36" s="88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120</v>
      </c>
      <c r="D39" s="35">
        <f t="shared" si="4"/>
        <v>120</v>
      </c>
      <c r="E39" s="87" t="str">
        <f t="shared" si="3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5</v>
      </c>
      <c r="D40" s="35">
        <f t="shared" si="4"/>
        <v>5</v>
      </c>
      <c r="E40" s="87" t="str">
        <f t="shared" si="3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13744</v>
      </c>
      <c r="D41" s="35">
        <f t="shared" si="4"/>
        <v>13744</v>
      </c>
      <c r="E41" s="87" t="str">
        <f t="shared" si="3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2774</v>
      </c>
      <c r="D42" s="35">
        <f t="shared" si="4"/>
        <v>2774</v>
      </c>
      <c r="E42" s="87" t="str">
        <f t="shared" si="3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1952</v>
      </c>
      <c r="D43" s="35">
        <f t="shared" si="4"/>
        <v>1952</v>
      </c>
      <c r="E43" s="87" t="str">
        <f t="shared" si="3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337</v>
      </c>
      <c r="D44" s="35">
        <f t="shared" si="4"/>
        <v>337</v>
      </c>
      <c r="E44" s="87" t="str">
        <f t="shared" si="3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485</v>
      </c>
      <c r="D46" s="35">
        <f t="shared" si="4"/>
        <v>485</v>
      </c>
      <c r="E46" s="87" t="str">
        <f t="shared" si="3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4500</v>
      </c>
      <c r="D48" s="35">
        <f t="shared" si="4"/>
        <v>4500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97</v>
      </c>
      <c r="D49" s="35">
        <f t="shared" si="4"/>
        <v>97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318</v>
      </c>
      <c r="D50" s="35">
        <f t="shared" si="4"/>
        <v>318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12369</v>
      </c>
      <c r="D51" s="38">
        <f>SUM(D52:D55)</f>
        <v>12369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477</v>
      </c>
      <c r="D52" s="35">
        <f>C52</f>
        <v>477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11617</v>
      </c>
      <c r="D53" s="35">
        <f>C53</f>
        <v>11617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275</v>
      </c>
      <c r="D55" s="35">
        <f>C55</f>
        <v>275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886</v>
      </c>
      <c r="D56" s="38">
        <f>C56</f>
        <v>886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73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2957928</v>
      </c>
      <c r="D7" s="16">
        <f>D8+D9+D10+D12+D13+D14+D15+D16+D17+D18+D19+D20+D21+D22+D24+D25+D26+D27</f>
        <v>3095416</v>
      </c>
      <c r="E7" s="13">
        <f>IF(C7=D7,"-",D7-C7)</f>
        <v>137488</v>
      </c>
      <c r="F7" s="86">
        <f>IF(C7=0,"-",D7/C7)</f>
        <v>1.046</v>
      </c>
      <c r="H7" s="118"/>
    </row>
    <row r="8" spans="1:8" ht="31.5" customHeight="1">
      <c r="A8" s="40" t="s">
        <v>1</v>
      </c>
      <c r="B8" s="100" t="s">
        <v>165</v>
      </c>
      <c r="C8" s="107">
        <v>425000</v>
      </c>
      <c r="D8" s="36">
        <f aca="true" t="shared" si="0" ref="D8:D24">C8</f>
        <v>425000</v>
      </c>
      <c r="E8" s="87" t="str">
        <f aca="true" t="shared" si="1" ref="E8:E29">IF(C8=D8,"-",D8-C8)</f>
        <v>-</v>
      </c>
      <c r="F8" s="88">
        <f aca="true" t="shared" si="2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212973</v>
      </c>
      <c r="D9" s="36">
        <f t="shared" si="0"/>
        <v>212973</v>
      </c>
      <c r="E9" s="87" t="str">
        <f t="shared" si="1"/>
        <v>-</v>
      </c>
      <c r="F9" s="88">
        <f t="shared" si="2"/>
        <v>1</v>
      </c>
      <c r="H9" s="118"/>
    </row>
    <row r="10" spans="1:8" ht="31.5" customHeight="1">
      <c r="A10" s="40" t="s">
        <v>3</v>
      </c>
      <c r="B10" s="100" t="s">
        <v>157</v>
      </c>
      <c r="C10" s="107">
        <v>1448857</v>
      </c>
      <c r="D10" s="36">
        <f>C10+12330</f>
        <v>1461187</v>
      </c>
      <c r="E10" s="87">
        <f t="shared" si="1"/>
        <v>12330</v>
      </c>
      <c r="F10" s="88">
        <f t="shared" si="2"/>
        <v>1.0085</v>
      </c>
      <c r="H10" s="118"/>
    </row>
    <row r="11" spans="1:8" ht="31.5" customHeight="1">
      <c r="A11" s="101" t="s">
        <v>64</v>
      </c>
      <c r="B11" s="45" t="s">
        <v>65</v>
      </c>
      <c r="C11" s="107">
        <v>58027</v>
      </c>
      <c r="D11" s="36">
        <f>C11+7000</f>
        <v>65027</v>
      </c>
      <c r="E11" s="87">
        <f t="shared" si="1"/>
        <v>7000</v>
      </c>
      <c r="F11" s="88">
        <f t="shared" si="2"/>
        <v>1.1206</v>
      </c>
      <c r="H11" s="118"/>
    </row>
    <row r="12" spans="1:8" ht="31.5" customHeight="1">
      <c r="A12" s="40" t="s">
        <v>4</v>
      </c>
      <c r="B12" s="100" t="s">
        <v>172</v>
      </c>
      <c r="C12" s="107">
        <v>108167</v>
      </c>
      <c r="D12" s="36">
        <f t="shared" si="0"/>
        <v>108167</v>
      </c>
      <c r="E12" s="87" t="str">
        <f t="shared" si="1"/>
        <v>-</v>
      </c>
      <c r="F12" s="88">
        <f t="shared" si="2"/>
        <v>1</v>
      </c>
      <c r="H12" s="118"/>
    </row>
    <row r="13" spans="1:8" ht="31.5" customHeight="1">
      <c r="A13" s="40" t="s">
        <v>5</v>
      </c>
      <c r="B13" s="100" t="s">
        <v>167</v>
      </c>
      <c r="C13" s="107">
        <v>87745</v>
      </c>
      <c r="D13" s="36">
        <f t="shared" si="0"/>
        <v>87745</v>
      </c>
      <c r="E13" s="87" t="str">
        <f t="shared" si="1"/>
        <v>-</v>
      </c>
      <c r="F13" s="88">
        <f t="shared" si="2"/>
        <v>1</v>
      </c>
      <c r="H13" s="118"/>
    </row>
    <row r="14" spans="1:8" ht="31.5" customHeight="1">
      <c r="A14" s="40" t="s">
        <v>6</v>
      </c>
      <c r="B14" s="100" t="s">
        <v>176</v>
      </c>
      <c r="C14" s="107">
        <v>41601</v>
      </c>
      <c r="D14" s="36">
        <f t="shared" si="0"/>
        <v>41601</v>
      </c>
      <c r="E14" s="87" t="str">
        <f t="shared" si="1"/>
        <v>-</v>
      </c>
      <c r="F14" s="88">
        <f t="shared" si="2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12688</v>
      </c>
      <c r="D15" s="36">
        <f t="shared" si="0"/>
        <v>12688</v>
      </c>
      <c r="E15" s="87" t="str">
        <f>IF(C15=D15,"-",D15-C15)</f>
        <v>-</v>
      </c>
      <c r="F15" s="88">
        <f>IF(C15=0,"-",D15/C15)</f>
        <v>1</v>
      </c>
      <c r="H15" s="118"/>
    </row>
    <row r="16" spans="1:8" ht="31.5" customHeight="1">
      <c r="A16" s="40" t="s">
        <v>8</v>
      </c>
      <c r="B16" s="100" t="s">
        <v>168</v>
      </c>
      <c r="C16" s="107">
        <v>115746</v>
      </c>
      <c r="D16" s="36">
        <f t="shared" si="0"/>
        <v>115746</v>
      </c>
      <c r="E16" s="87" t="str">
        <f t="shared" si="1"/>
        <v>-</v>
      </c>
      <c r="F16" s="88">
        <f t="shared" si="2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39014</v>
      </c>
      <c r="D17" s="36">
        <f t="shared" si="0"/>
        <v>39014</v>
      </c>
      <c r="E17" s="87" t="str">
        <f t="shared" si="1"/>
        <v>-</v>
      </c>
      <c r="F17" s="88">
        <f t="shared" si="2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2300</v>
      </c>
      <c r="D18" s="36">
        <f t="shared" si="0"/>
        <v>2300</v>
      </c>
      <c r="E18" s="87" t="str">
        <f t="shared" si="1"/>
        <v>-</v>
      </c>
      <c r="F18" s="88">
        <f t="shared" si="2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7590</v>
      </c>
      <c r="D19" s="36">
        <f t="shared" si="0"/>
        <v>7590</v>
      </c>
      <c r="E19" s="87" t="str">
        <f t="shared" si="1"/>
        <v>-</v>
      </c>
      <c r="F19" s="88">
        <f t="shared" si="2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72787</v>
      </c>
      <c r="D20" s="36">
        <f t="shared" si="0"/>
        <v>72787</v>
      </c>
      <c r="E20" s="87" t="str">
        <f t="shared" si="1"/>
        <v>-</v>
      </c>
      <c r="F20" s="88">
        <f t="shared" si="2"/>
        <v>1</v>
      </c>
      <c r="H20" s="118"/>
    </row>
    <row r="21" spans="1:8" ht="31.5" customHeight="1">
      <c r="A21" s="40" t="s">
        <v>14</v>
      </c>
      <c r="B21" s="46" t="s">
        <v>13</v>
      </c>
      <c r="C21" s="107">
        <v>30900</v>
      </c>
      <c r="D21" s="36">
        <f t="shared" si="0"/>
        <v>30900</v>
      </c>
      <c r="E21" s="87" t="str">
        <f t="shared" si="1"/>
        <v>-</v>
      </c>
      <c r="F21" s="88">
        <f t="shared" si="2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352228</v>
      </c>
      <c r="D22" s="36">
        <f>C22+112158</f>
        <v>464386</v>
      </c>
      <c r="E22" s="87">
        <f t="shared" si="1"/>
        <v>112158</v>
      </c>
      <c r="F22" s="88">
        <f t="shared" si="2"/>
        <v>1.3184</v>
      </c>
      <c r="H22" s="118"/>
    </row>
    <row r="23" spans="1:8" ht="31.5" customHeight="1">
      <c r="A23" s="39" t="s">
        <v>178</v>
      </c>
      <c r="B23" s="45" t="s">
        <v>66</v>
      </c>
      <c r="C23" s="107">
        <v>2000</v>
      </c>
      <c r="D23" s="36">
        <f t="shared" si="0"/>
        <v>2000</v>
      </c>
      <c r="E23" s="87" t="str">
        <f t="shared" si="1"/>
        <v>-</v>
      </c>
      <c r="F23" s="88">
        <f t="shared" si="2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 t="shared" si="0"/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332</v>
      </c>
      <c r="D27" s="36">
        <f>C27+13000</f>
        <v>13332</v>
      </c>
      <c r="E27" s="87">
        <f>IF(C27=D27,"-",D27-C27)</f>
        <v>13000</v>
      </c>
      <c r="F27" s="88">
        <f>IF(C27=0,"-",D27/C27)</f>
        <v>40.1566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1"/>
        <v>-</v>
      </c>
      <c r="F28" s="116" t="str">
        <f t="shared" si="2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106080</v>
      </c>
      <c r="D29" s="115">
        <v>106080</v>
      </c>
      <c r="E29" s="15" t="str">
        <f t="shared" si="1"/>
        <v>-</v>
      </c>
      <c r="F29" s="116">
        <f t="shared" si="2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24706</v>
      </c>
      <c r="D30" s="34">
        <f>D31+D32+D33+D41+D42+D48+D49+D50+D47</f>
        <v>24706</v>
      </c>
      <c r="E30" s="13" t="str">
        <f>IF(C30=D30,"-",D30-C30)</f>
        <v>-</v>
      </c>
      <c r="F30" s="89">
        <f t="shared" si="2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637</v>
      </c>
      <c r="D31" s="35">
        <f>C31</f>
        <v>637</v>
      </c>
      <c r="E31" s="87" t="str">
        <f aca="true" t="shared" si="3" ref="E31:E51">IF(C31=D31,"-",D31-C31)</f>
        <v>-</v>
      </c>
      <c r="F31" s="88">
        <f t="shared" si="2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2298</v>
      </c>
      <c r="D32" s="35">
        <f>C32</f>
        <v>2298</v>
      </c>
      <c r="E32" s="87" t="str">
        <f t="shared" si="3"/>
        <v>-</v>
      </c>
      <c r="F32" s="88">
        <f t="shared" si="2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206</v>
      </c>
      <c r="D33" s="35">
        <f>D34+D36+D37+D38+D39+D40</f>
        <v>206</v>
      </c>
      <c r="E33" s="87" t="str">
        <f t="shared" si="3"/>
        <v>-</v>
      </c>
      <c r="F33" s="88">
        <f t="shared" si="2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25</v>
      </c>
      <c r="D34" s="35">
        <f>C34</f>
        <v>25</v>
      </c>
      <c r="E34" s="87" t="str">
        <f t="shared" si="3"/>
        <v>-</v>
      </c>
      <c r="F34" s="88">
        <f t="shared" si="2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25</v>
      </c>
      <c r="D35" s="35">
        <f aca="true" t="shared" si="4" ref="D35:D47">C35</f>
        <v>25</v>
      </c>
      <c r="E35" s="87" t="str">
        <f t="shared" si="3"/>
        <v>-</v>
      </c>
      <c r="F35" s="88">
        <f t="shared" si="2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4"/>
        <v>0</v>
      </c>
      <c r="E36" s="87" t="str">
        <f t="shared" si="3"/>
        <v>-</v>
      </c>
      <c r="F36" s="88" t="str">
        <f t="shared" si="2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4"/>
        <v>0</v>
      </c>
      <c r="E37" s="87" t="str">
        <f t="shared" si="3"/>
        <v>-</v>
      </c>
      <c r="F37" s="88" t="str">
        <f t="shared" si="2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4"/>
        <v>0</v>
      </c>
      <c r="E38" s="87" t="str">
        <f t="shared" si="3"/>
        <v>-</v>
      </c>
      <c r="F38" s="88" t="str">
        <f t="shared" si="2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173</v>
      </c>
      <c r="D39" s="35">
        <f>C39</f>
        <v>173</v>
      </c>
      <c r="E39" s="87" t="str">
        <f t="shared" si="3"/>
        <v>-</v>
      </c>
      <c r="F39" s="88">
        <f t="shared" si="2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8</v>
      </c>
      <c r="D40" s="35">
        <f t="shared" si="4"/>
        <v>8</v>
      </c>
      <c r="E40" s="87" t="str">
        <f t="shared" si="3"/>
        <v>-</v>
      </c>
      <c r="F40" s="88">
        <f t="shared" si="2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14274</v>
      </c>
      <c r="D41" s="35">
        <f t="shared" si="4"/>
        <v>14274</v>
      </c>
      <c r="E41" s="87" t="str">
        <f t="shared" si="3"/>
        <v>-</v>
      </c>
      <c r="F41" s="88">
        <f t="shared" si="2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2879</v>
      </c>
      <c r="D42" s="35">
        <f>SUM(D43:D46)</f>
        <v>2879</v>
      </c>
      <c r="E42" s="87" t="str">
        <f t="shared" si="3"/>
        <v>-</v>
      </c>
      <c r="F42" s="88">
        <f t="shared" si="2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2168</v>
      </c>
      <c r="D43" s="35">
        <f>C43</f>
        <v>2168</v>
      </c>
      <c r="E43" s="87" t="str">
        <f t="shared" si="3"/>
        <v>-</v>
      </c>
      <c r="F43" s="88">
        <f t="shared" si="2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350</v>
      </c>
      <c r="D44" s="35">
        <f>C44</f>
        <v>350</v>
      </c>
      <c r="E44" s="87" t="str">
        <f t="shared" si="3"/>
        <v>-</v>
      </c>
      <c r="F44" s="88">
        <f t="shared" si="2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7" t="str">
        <f t="shared" si="3"/>
        <v>-</v>
      </c>
      <c r="F45" s="88" t="str">
        <f t="shared" si="2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361</v>
      </c>
      <c r="D46" s="35">
        <f>C46</f>
        <v>361</v>
      </c>
      <c r="E46" s="87" t="str">
        <f t="shared" si="3"/>
        <v>-</v>
      </c>
      <c r="F46" s="88">
        <f t="shared" si="2"/>
        <v>1</v>
      </c>
      <c r="H46" s="118"/>
    </row>
    <row r="47" spans="1:8" ht="28.5" customHeight="1">
      <c r="A47" s="42" t="s">
        <v>27</v>
      </c>
      <c r="B47" s="51" t="s">
        <v>28</v>
      </c>
      <c r="C47" s="92"/>
      <c r="D47" s="35">
        <f t="shared" si="4"/>
        <v>0</v>
      </c>
      <c r="E47" s="87" t="str">
        <f t="shared" si="3"/>
        <v>-</v>
      </c>
      <c r="F47" s="88" t="str">
        <f aca="true" t="shared" si="5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3814</v>
      </c>
      <c r="D48" s="35">
        <f>C48</f>
        <v>3814</v>
      </c>
      <c r="E48" s="87" t="str">
        <f t="shared" si="3"/>
        <v>-</v>
      </c>
      <c r="F48" s="90">
        <f t="shared" si="5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298</v>
      </c>
      <c r="D49" s="35">
        <f>C49</f>
        <v>298</v>
      </c>
      <c r="E49" s="87" t="str">
        <f t="shared" si="3"/>
        <v>-</v>
      </c>
      <c r="F49" s="90">
        <f t="shared" si="5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300</v>
      </c>
      <c r="D50" s="35">
        <f>C50</f>
        <v>300</v>
      </c>
      <c r="E50" s="87" t="str">
        <f t="shared" si="3"/>
        <v>-</v>
      </c>
      <c r="F50" s="88">
        <f t="shared" si="5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12632</v>
      </c>
      <c r="D51" s="38">
        <f>SUM(D52:D55)</f>
        <v>12632</v>
      </c>
      <c r="E51" s="13" t="str">
        <f t="shared" si="3"/>
        <v>-</v>
      </c>
      <c r="F51" s="91">
        <f t="shared" si="5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51</v>
      </c>
      <c r="D52" s="35">
        <f>C52</f>
        <v>51</v>
      </c>
      <c r="E52" s="92" t="str">
        <f>IF(C52=D52,"-",D52-C52)</f>
        <v>-</v>
      </c>
      <c r="F52" s="98">
        <f t="shared" si="5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11837</v>
      </c>
      <c r="D53" s="35">
        <f>C53</f>
        <v>11837</v>
      </c>
      <c r="E53" s="92" t="str">
        <f>IF(C53=D53,"-",D53-C53)</f>
        <v>-</v>
      </c>
      <c r="F53" s="98">
        <f t="shared" si="5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5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744</v>
      </c>
      <c r="D55" s="35">
        <f>C55</f>
        <v>744</v>
      </c>
      <c r="E55" s="92" t="str">
        <f>IF(C55=D55,"-",D55-C55)</f>
        <v>-</v>
      </c>
      <c r="F55" s="98">
        <f t="shared" si="5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10800</v>
      </c>
      <c r="D56" s="38">
        <f>C56</f>
        <v>10800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4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74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1366815</v>
      </c>
      <c r="D7" s="16">
        <f>D8+D9+D10+D12+D13+D14+D15+D16+D17+D18+D19+D20+D21+D22+D24+D25+D26+D27</f>
        <v>1429173</v>
      </c>
      <c r="E7" s="13">
        <f>IF(C7=D7,"-",D7-C7)</f>
        <v>62358</v>
      </c>
      <c r="F7" s="86">
        <f>IF(C7=0,"-",D7/C7)</f>
        <v>1.046</v>
      </c>
      <c r="H7" s="118"/>
    </row>
    <row r="8" spans="1:8" ht="31.5" customHeight="1">
      <c r="A8" s="40" t="s">
        <v>1</v>
      </c>
      <c r="B8" s="100" t="s">
        <v>165</v>
      </c>
      <c r="C8" s="107">
        <v>182000</v>
      </c>
      <c r="D8" s="36">
        <f>C8+10000</f>
        <v>192000</v>
      </c>
      <c r="E8" s="87">
        <f aca="true" t="shared" si="0" ref="E8:E29">IF(C8=D8,"-",D8-C8)</f>
        <v>10000</v>
      </c>
      <c r="F8" s="88">
        <f aca="true" t="shared" si="1" ref="F8:F46">IF(C8=0,"-",D8/C8)</f>
        <v>1.0549</v>
      </c>
      <c r="H8" s="118"/>
    </row>
    <row r="9" spans="1:8" ht="31.5" customHeight="1">
      <c r="A9" s="40" t="s">
        <v>2</v>
      </c>
      <c r="B9" s="100" t="s">
        <v>166</v>
      </c>
      <c r="C9" s="107">
        <v>101111</v>
      </c>
      <c r="D9" s="36">
        <f>C9+10000</f>
        <v>111111</v>
      </c>
      <c r="E9" s="87">
        <f t="shared" si="0"/>
        <v>10000</v>
      </c>
      <c r="F9" s="88">
        <f t="shared" si="1"/>
        <v>1.0989</v>
      </c>
      <c r="H9" s="118"/>
    </row>
    <row r="10" spans="1:8" ht="31.5" customHeight="1">
      <c r="A10" s="40" t="s">
        <v>3</v>
      </c>
      <c r="B10" s="100" t="s">
        <v>157</v>
      </c>
      <c r="C10" s="107">
        <v>632217</v>
      </c>
      <c r="D10" s="36">
        <f>C10+22583</f>
        <v>654800</v>
      </c>
      <c r="E10" s="87">
        <f t="shared" si="0"/>
        <v>22583</v>
      </c>
      <c r="F10" s="88">
        <f t="shared" si="1"/>
        <v>1.0357</v>
      </c>
      <c r="H10" s="118"/>
    </row>
    <row r="11" spans="1:8" ht="31.5" customHeight="1">
      <c r="A11" s="101" t="s">
        <v>64</v>
      </c>
      <c r="B11" s="45" t="s">
        <v>65</v>
      </c>
      <c r="C11" s="107">
        <v>33720</v>
      </c>
      <c r="D11" s="36">
        <f>C11+4600</f>
        <v>38320</v>
      </c>
      <c r="E11" s="87">
        <f t="shared" si="0"/>
        <v>4600</v>
      </c>
      <c r="F11" s="88">
        <f t="shared" si="1"/>
        <v>1.1364</v>
      </c>
      <c r="H11" s="118"/>
    </row>
    <row r="12" spans="1:8" ht="31.5" customHeight="1">
      <c r="A12" s="40" t="s">
        <v>4</v>
      </c>
      <c r="B12" s="100" t="s">
        <v>172</v>
      </c>
      <c r="C12" s="107">
        <v>74681</v>
      </c>
      <c r="D12" s="36">
        <f>C12+3675</f>
        <v>78356</v>
      </c>
      <c r="E12" s="87">
        <f t="shared" si="0"/>
        <v>3675</v>
      </c>
      <c r="F12" s="88">
        <f t="shared" si="1"/>
        <v>1.0492</v>
      </c>
      <c r="H12" s="118"/>
    </row>
    <row r="13" spans="1:8" ht="31.5" customHeight="1">
      <c r="A13" s="40" t="s">
        <v>5</v>
      </c>
      <c r="B13" s="100" t="s">
        <v>167</v>
      </c>
      <c r="C13" s="107">
        <v>41671</v>
      </c>
      <c r="D13" s="36">
        <f>C13+1300</f>
        <v>42971</v>
      </c>
      <c r="E13" s="87">
        <f t="shared" si="0"/>
        <v>1300</v>
      </c>
      <c r="F13" s="88">
        <f t="shared" si="1"/>
        <v>1.0312</v>
      </c>
      <c r="H13" s="118"/>
    </row>
    <row r="14" spans="1:8" ht="31.5" customHeight="1">
      <c r="A14" s="40" t="s">
        <v>6</v>
      </c>
      <c r="B14" s="100" t="s">
        <v>176</v>
      </c>
      <c r="C14" s="107">
        <v>18326</v>
      </c>
      <c r="D14" s="36">
        <f>C14+1000</f>
        <v>19326</v>
      </c>
      <c r="E14" s="87">
        <f t="shared" si="0"/>
        <v>1000</v>
      </c>
      <c r="F14" s="88">
        <f t="shared" si="1"/>
        <v>1.0546</v>
      </c>
      <c r="H14" s="118"/>
    </row>
    <row r="15" spans="1:8" ht="31.5" customHeight="1">
      <c r="A15" s="40" t="s">
        <v>7</v>
      </c>
      <c r="B15" s="100" t="s">
        <v>175</v>
      </c>
      <c r="C15" s="107">
        <v>7561</v>
      </c>
      <c r="D15" s="36">
        <f>C15+300</f>
        <v>7861</v>
      </c>
      <c r="E15" s="87">
        <f>IF(C15=D15,"-",D15-C15)</f>
        <v>300</v>
      </c>
      <c r="F15" s="88">
        <f>IF(C15=0,"-",D15/C15)</f>
        <v>1.0397</v>
      </c>
      <c r="H15" s="118"/>
    </row>
    <row r="16" spans="1:8" ht="31.5" customHeight="1">
      <c r="A16" s="40" t="s">
        <v>8</v>
      </c>
      <c r="B16" s="100" t="s">
        <v>168</v>
      </c>
      <c r="C16" s="107">
        <v>39722</v>
      </c>
      <c r="D16" s="36">
        <f>C16</f>
        <v>39722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11000</v>
      </c>
      <c r="D17" s="36">
        <f>C17</f>
        <v>11000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2500</v>
      </c>
      <c r="D18" s="36">
        <f>C18</f>
        <v>2500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4077</v>
      </c>
      <c r="D19" s="36">
        <f>C19</f>
        <v>4077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34687</v>
      </c>
      <c r="D20" s="36">
        <f>C20+1500</f>
        <v>36187</v>
      </c>
      <c r="E20" s="87">
        <f t="shared" si="0"/>
        <v>1500</v>
      </c>
      <c r="F20" s="88">
        <f t="shared" si="1"/>
        <v>1.0432</v>
      </c>
      <c r="H20" s="118"/>
    </row>
    <row r="21" spans="1:8" ht="31.5" customHeight="1">
      <c r="A21" s="40" t="s">
        <v>14</v>
      </c>
      <c r="B21" s="46" t="s">
        <v>13</v>
      </c>
      <c r="C21" s="107">
        <v>15900</v>
      </c>
      <c r="D21" s="36">
        <f>C21</f>
        <v>15900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199174</v>
      </c>
      <c r="D22" s="36">
        <f>C22+2000</f>
        <v>201174</v>
      </c>
      <c r="E22" s="87">
        <f t="shared" si="0"/>
        <v>2000</v>
      </c>
      <c r="F22" s="88">
        <f t="shared" si="1"/>
        <v>1.01</v>
      </c>
      <c r="H22" s="118"/>
    </row>
    <row r="23" spans="1:8" ht="31.5" customHeight="1">
      <c r="A23" s="39" t="s">
        <v>178</v>
      </c>
      <c r="B23" s="45" t="s">
        <v>66</v>
      </c>
      <c r="C23" s="107">
        <v>400</v>
      </c>
      <c r="D23" s="36">
        <f>C23</f>
        <v>400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2188</v>
      </c>
      <c r="D27" s="36">
        <f>C27+10000</f>
        <v>12188</v>
      </c>
      <c r="E27" s="87">
        <f>IF(C27=D27,"-",D27-C27)</f>
        <v>10000</v>
      </c>
      <c r="F27" s="88">
        <f>IF(C27=0,"-",D27/C27)</f>
        <v>5.5704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61433</v>
      </c>
      <c r="D29" s="115">
        <v>61433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15988</v>
      </c>
      <c r="D30" s="34">
        <f>D31+D32+D33+D41+D42+D48+D49+D50+D47</f>
        <v>15988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607</v>
      </c>
      <c r="D31" s="35">
        <f>C31</f>
        <v>607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1762</v>
      </c>
      <c r="D32" s="35">
        <f aca="true" t="shared" si="3" ref="D32:D50">C32</f>
        <v>1762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v>124</v>
      </c>
      <c r="D33" s="35">
        <v>124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26</v>
      </c>
      <c r="D34" s="35">
        <f t="shared" si="3"/>
        <v>26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26</v>
      </c>
      <c r="D35" s="35">
        <f t="shared" si="3"/>
        <v>26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98</v>
      </c>
      <c r="D39" s="35">
        <f t="shared" si="3"/>
        <v>98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0</v>
      </c>
      <c r="D40" s="35">
        <f t="shared" si="3"/>
        <v>0</v>
      </c>
      <c r="E40" s="87" t="str">
        <f t="shared" si="2"/>
        <v>-</v>
      </c>
      <c r="F40" s="88" t="str">
        <f t="shared" si="1"/>
        <v>-</v>
      </c>
      <c r="H40" s="118"/>
    </row>
    <row r="41" spans="1:8" ht="28.5" customHeight="1">
      <c r="A41" s="42" t="s">
        <v>24</v>
      </c>
      <c r="B41" s="51" t="s">
        <v>25</v>
      </c>
      <c r="C41" s="35">
        <v>7964</v>
      </c>
      <c r="D41" s="35">
        <f t="shared" si="3"/>
        <v>7964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1613</v>
      </c>
      <c r="D42" s="106">
        <f>D43+D44+D45+D46</f>
        <v>1613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1210</v>
      </c>
      <c r="D43" s="35">
        <f t="shared" si="3"/>
        <v>1210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195</v>
      </c>
      <c r="D44" s="35">
        <f t="shared" si="3"/>
        <v>195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208</v>
      </c>
      <c r="D46" s="35">
        <f t="shared" si="3"/>
        <v>208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3370</v>
      </c>
      <c r="D48" s="35">
        <f t="shared" si="3"/>
        <v>3370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301</v>
      </c>
      <c r="D49" s="35">
        <f t="shared" si="3"/>
        <v>301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247</v>
      </c>
      <c r="D50" s="35">
        <f t="shared" si="3"/>
        <v>247</v>
      </c>
      <c r="E50" s="87" t="str">
        <f t="shared" si="2"/>
        <v>-</v>
      </c>
      <c r="F50" s="88">
        <f t="shared" si="4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9200</v>
      </c>
      <c r="D51" s="38">
        <f>SUM(D52:D55)</f>
        <v>9200</v>
      </c>
      <c r="E51" s="13" t="str">
        <f t="shared" si="2"/>
        <v>-</v>
      </c>
      <c r="F51" s="91">
        <f t="shared" si="4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4087</v>
      </c>
      <c r="D52" s="35">
        <f>C52</f>
        <v>4087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4913</v>
      </c>
      <c r="D53" s="35">
        <f>C53</f>
        <v>4913</v>
      </c>
      <c r="E53" s="92" t="str">
        <f>IF(C53=D53,"-",D53-C53)</f>
        <v>-</v>
      </c>
      <c r="F53" s="98">
        <f t="shared" si="4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200</v>
      </c>
      <c r="D55" s="35">
        <f>C55</f>
        <v>200</v>
      </c>
      <c r="E55" s="92" t="str">
        <f>IF(C55=D55,"-",D55-C55)</f>
        <v>-</v>
      </c>
      <c r="F55" s="98">
        <f t="shared" si="4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</v>
      </c>
      <c r="D56" s="38">
        <f>C56+165</f>
        <v>166</v>
      </c>
      <c r="E56" s="13">
        <f>IF(C56=D56,"-",D56-C56)</f>
        <v>165</v>
      </c>
      <c r="F56" s="91">
        <f>IF(C56=0,"-",D56/C56)</f>
        <v>166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49" zoomScaleNormal="49" zoomScaleSheetLayoutView="55" zoomScalePageLayoutView="0" workbookViewId="0" topLeftCell="A1">
      <pane xSplit="2" ySplit="7" topLeftCell="C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75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6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</row>
    <row r="5" spans="1:6" s="6" customFormat="1" ht="33" customHeight="1">
      <c r="A5" s="157"/>
      <c r="B5" s="157"/>
      <c r="C5" s="154"/>
      <c r="D5" s="151"/>
      <c r="E5" s="152"/>
      <c r="F5" s="152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3731974</v>
      </c>
      <c r="D7" s="16">
        <f>D8+D9+D10+D12+D13+D14+D15+D16+D17+D18+D19+D20+D21+D22+D24+D25+D26+D27</f>
        <v>3898070</v>
      </c>
      <c r="E7" s="13">
        <f>IF(C7=D7,"-",D7-C7)</f>
        <v>166096</v>
      </c>
      <c r="F7" s="86">
        <f>IF(C7=0,"-",D7/C7)</f>
        <v>1.045</v>
      </c>
      <c r="H7" s="118"/>
    </row>
    <row r="8" spans="1:8" ht="31.5" customHeight="1">
      <c r="A8" s="40" t="s">
        <v>1</v>
      </c>
      <c r="B8" s="100" t="s">
        <v>165</v>
      </c>
      <c r="C8" s="107">
        <v>484929</v>
      </c>
      <c r="D8" s="36">
        <f>C8+8000</f>
        <v>492929</v>
      </c>
      <c r="E8" s="87">
        <f aca="true" t="shared" si="0" ref="E8:E29">IF(C8=D8,"-",D8-C8)</f>
        <v>8000</v>
      </c>
      <c r="F8" s="88">
        <f aca="true" t="shared" si="1" ref="F8:F46">IF(C8=0,"-",D8/C8)</f>
        <v>1.0165</v>
      </c>
      <c r="H8" s="118"/>
    </row>
    <row r="9" spans="1:8" ht="31.5" customHeight="1">
      <c r="A9" s="40" t="s">
        <v>2</v>
      </c>
      <c r="B9" s="100" t="s">
        <v>166</v>
      </c>
      <c r="C9" s="107">
        <v>244822</v>
      </c>
      <c r="D9" s="36">
        <f>C9+5000</f>
        <v>249822</v>
      </c>
      <c r="E9" s="87">
        <f t="shared" si="0"/>
        <v>5000</v>
      </c>
      <c r="F9" s="88">
        <f t="shared" si="1"/>
        <v>1.0204</v>
      </c>
      <c r="H9" s="118"/>
    </row>
    <row r="10" spans="1:8" ht="31.5" customHeight="1">
      <c r="A10" s="40" t="s">
        <v>3</v>
      </c>
      <c r="B10" s="100" t="s">
        <v>157</v>
      </c>
      <c r="C10" s="107">
        <v>1834744</v>
      </c>
      <c r="D10" s="36">
        <f>C10+51726</f>
        <v>1886470</v>
      </c>
      <c r="E10" s="87">
        <f t="shared" si="0"/>
        <v>51726</v>
      </c>
      <c r="F10" s="88">
        <f t="shared" si="1"/>
        <v>1.0282</v>
      </c>
      <c r="H10" s="118"/>
    </row>
    <row r="11" spans="1:8" ht="31.5" customHeight="1">
      <c r="A11" s="101" t="s">
        <v>64</v>
      </c>
      <c r="B11" s="45" t="s">
        <v>65</v>
      </c>
      <c r="C11" s="107">
        <v>91882</v>
      </c>
      <c r="D11" s="36">
        <f>C11+9000</f>
        <v>100882</v>
      </c>
      <c r="E11" s="87">
        <f t="shared" si="0"/>
        <v>9000</v>
      </c>
      <c r="F11" s="88">
        <f t="shared" si="1"/>
        <v>1.098</v>
      </c>
      <c r="H11" s="118"/>
    </row>
    <row r="12" spans="1:8" ht="31.5" customHeight="1">
      <c r="A12" s="40" t="s">
        <v>4</v>
      </c>
      <c r="B12" s="100" t="s">
        <v>172</v>
      </c>
      <c r="C12" s="107">
        <v>134884</v>
      </c>
      <c r="D12" s="36">
        <f>C12+500</f>
        <v>135384</v>
      </c>
      <c r="E12" s="87">
        <f t="shared" si="0"/>
        <v>500</v>
      </c>
      <c r="F12" s="88">
        <f t="shared" si="1"/>
        <v>1.0037</v>
      </c>
      <c r="H12" s="118"/>
    </row>
    <row r="13" spans="1:8" ht="31.5" customHeight="1">
      <c r="A13" s="40" t="s">
        <v>5</v>
      </c>
      <c r="B13" s="100" t="s">
        <v>167</v>
      </c>
      <c r="C13" s="107">
        <v>105837</v>
      </c>
      <c r="D13" s="36">
        <f>C13+1171</f>
        <v>107008</v>
      </c>
      <c r="E13" s="87">
        <f t="shared" si="0"/>
        <v>1171</v>
      </c>
      <c r="F13" s="88">
        <f t="shared" si="1"/>
        <v>1.0111</v>
      </c>
      <c r="H13" s="118"/>
    </row>
    <row r="14" spans="1:8" ht="31.5" customHeight="1">
      <c r="A14" s="40" t="s">
        <v>6</v>
      </c>
      <c r="B14" s="100" t="s">
        <v>176</v>
      </c>
      <c r="C14" s="107">
        <v>46412</v>
      </c>
      <c r="D14" s="36">
        <f>C14</f>
        <v>46412</v>
      </c>
      <c r="E14" s="87" t="str">
        <f t="shared" si="0"/>
        <v>-</v>
      </c>
      <c r="F14" s="88">
        <f t="shared" si="1"/>
        <v>1</v>
      </c>
      <c r="H14" s="118"/>
    </row>
    <row r="15" spans="1:8" ht="31.5" customHeight="1">
      <c r="A15" s="40" t="s">
        <v>7</v>
      </c>
      <c r="B15" s="100" t="s">
        <v>175</v>
      </c>
      <c r="C15" s="107">
        <v>17399</v>
      </c>
      <c r="D15" s="36">
        <f>C15+500</f>
        <v>17899</v>
      </c>
      <c r="E15" s="87">
        <f>IF(C15=D15,"-",D15-C15)</f>
        <v>500</v>
      </c>
      <c r="F15" s="88">
        <f>IF(C15=0,"-",D15/C15)</f>
        <v>1.0287</v>
      </c>
      <c r="H15" s="118"/>
    </row>
    <row r="16" spans="1:8" ht="31.5" customHeight="1">
      <c r="A16" s="40" t="s">
        <v>8</v>
      </c>
      <c r="B16" s="100" t="s">
        <v>168</v>
      </c>
      <c r="C16" s="107">
        <v>120861</v>
      </c>
      <c r="D16" s="36">
        <f>C16</f>
        <v>120861</v>
      </c>
      <c r="E16" s="87" t="str">
        <f t="shared" si="0"/>
        <v>-</v>
      </c>
      <c r="F16" s="88">
        <f t="shared" si="1"/>
        <v>1</v>
      </c>
      <c r="H16" s="118"/>
    </row>
    <row r="17" spans="1:8" ht="31.5" customHeight="1">
      <c r="A17" s="40" t="s">
        <v>9</v>
      </c>
      <c r="B17" s="100" t="s">
        <v>169</v>
      </c>
      <c r="C17" s="107">
        <v>46304</v>
      </c>
      <c r="D17" s="36">
        <f>C17</f>
        <v>46304</v>
      </c>
      <c r="E17" s="87" t="str">
        <f t="shared" si="0"/>
        <v>-</v>
      </c>
      <c r="F17" s="88">
        <f t="shared" si="1"/>
        <v>1</v>
      </c>
      <c r="H17" s="118"/>
    </row>
    <row r="18" spans="1:8" ht="33" customHeight="1">
      <c r="A18" s="40" t="s">
        <v>10</v>
      </c>
      <c r="B18" s="100" t="s">
        <v>177</v>
      </c>
      <c r="C18" s="107">
        <v>2035</v>
      </c>
      <c r="D18" s="36">
        <f>C18</f>
        <v>2035</v>
      </c>
      <c r="E18" s="87" t="str">
        <f t="shared" si="0"/>
        <v>-</v>
      </c>
      <c r="F18" s="88">
        <f t="shared" si="1"/>
        <v>1</v>
      </c>
      <c r="H18" s="118"/>
    </row>
    <row r="19" spans="1:8" ht="33" customHeight="1">
      <c r="A19" s="40" t="s">
        <v>11</v>
      </c>
      <c r="B19" s="100" t="s">
        <v>170</v>
      </c>
      <c r="C19" s="107">
        <v>10059</v>
      </c>
      <c r="D19" s="36">
        <f>C19</f>
        <v>10059</v>
      </c>
      <c r="E19" s="87" t="str">
        <f t="shared" si="0"/>
        <v>-</v>
      </c>
      <c r="F19" s="88">
        <f t="shared" si="1"/>
        <v>1</v>
      </c>
      <c r="H19" s="118"/>
    </row>
    <row r="20" spans="1:8" ht="31.5" customHeight="1">
      <c r="A20" s="40" t="s">
        <v>12</v>
      </c>
      <c r="B20" s="100" t="s">
        <v>171</v>
      </c>
      <c r="C20" s="107">
        <v>89188</v>
      </c>
      <c r="D20" s="36">
        <f>C20+3000</f>
        <v>92188</v>
      </c>
      <c r="E20" s="87">
        <f t="shared" si="0"/>
        <v>3000</v>
      </c>
      <c r="F20" s="88">
        <f t="shared" si="1"/>
        <v>1.0336</v>
      </c>
      <c r="H20" s="118"/>
    </row>
    <row r="21" spans="1:8" ht="31.5" customHeight="1">
      <c r="A21" s="40" t="s">
        <v>14</v>
      </c>
      <c r="B21" s="46" t="s">
        <v>13</v>
      </c>
      <c r="C21" s="107">
        <v>37438</v>
      </c>
      <c r="D21" s="36">
        <f>C21</f>
        <v>37438</v>
      </c>
      <c r="E21" s="87" t="str">
        <f t="shared" si="0"/>
        <v>-</v>
      </c>
      <c r="F21" s="88">
        <f t="shared" si="1"/>
        <v>1</v>
      </c>
      <c r="H21" s="118"/>
    </row>
    <row r="22" spans="1:8" ht="31.5" customHeight="1">
      <c r="A22" s="41" t="s">
        <v>15</v>
      </c>
      <c r="B22" s="100" t="s">
        <v>173</v>
      </c>
      <c r="C22" s="107">
        <v>547062</v>
      </c>
      <c r="D22" s="36">
        <f>C22+59774</f>
        <v>606836</v>
      </c>
      <c r="E22" s="87">
        <f t="shared" si="0"/>
        <v>59774</v>
      </c>
      <c r="F22" s="88">
        <f t="shared" si="1"/>
        <v>1.1093</v>
      </c>
      <c r="H22" s="118"/>
    </row>
    <row r="23" spans="1:8" ht="31.5" customHeight="1">
      <c r="A23" s="39" t="s">
        <v>178</v>
      </c>
      <c r="B23" s="45" t="s">
        <v>66</v>
      </c>
      <c r="C23" s="107">
        <v>500</v>
      </c>
      <c r="D23" s="36">
        <f>C23</f>
        <v>500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10000</v>
      </c>
      <c r="D27" s="36">
        <f>C27+36425</f>
        <v>46425</v>
      </c>
      <c r="E27" s="87">
        <f>IF(C27=D27,"-",D27-C27)</f>
        <v>36425</v>
      </c>
      <c r="F27" s="88">
        <f>IF(C27=0,"-",D27/C27)</f>
        <v>4.6425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113175</v>
      </c>
      <c r="D29" s="115">
        <v>113175</v>
      </c>
      <c r="E29" s="15" t="str">
        <f t="shared" si="0"/>
        <v>-</v>
      </c>
      <c r="F29" s="116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26853</v>
      </c>
      <c r="D30" s="34">
        <f>D31+D32+D33+D41+D42+D48+D49+D50+D47</f>
        <v>26853</v>
      </c>
      <c r="E30" s="13" t="str">
        <f>IF(C30=D30,"-",D30-C30)</f>
        <v>-</v>
      </c>
      <c r="F30" s="89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92">
        <v>899</v>
      </c>
      <c r="D31" s="35">
        <f>C31</f>
        <v>899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3592</v>
      </c>
      <c r="D32" s="35">
        <f>C32</f>
        <v>3592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272</v>
      </c>
      <c r="D33" s="35">
        <f>D34+D36+D37+D38+D39+D40</f>
        <v>272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10</v>
      </c>
      <c r="D34" s="35">
        <f>C34</f>
        <v>10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10</v>
      </c>
      <c r="D35" s="35">
        <f aca="true" t="shared" si="3" ref="D35:D47">C35</f>
        <v>10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/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/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/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259</v>
      </c>
      <c r="D39" s="35">
        <f t="shared" si="3"/>
        <v>259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3</v>
      </c>
      <c r="D40" s="35">
        <f t="shared" si="3"/>
        <v>3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16636</v>
      </c>
      <c r="D41" s="35">
        <f t="shared" si="3"/>
        <v>16636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3357</v>
      </c>
      <c r="D42" s="35">
        <f>SUM(D43:D46)</f>
        <v>3357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2527</v>
      </c>
      <c r="D43" s="35">
        <f>C43</f>
        <v>2527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408</v>
      </c>
      <c r="D44" s="35">
        <f>C44</f>
        <v>408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422</v>
      </c>
      <c r="D46" s="35">
        <f>C46</f>
        <v>422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1748</v>
      </c>
      <c r="D48" s="35">
        <f>C48</f>
        <v>1748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177</v>
      </c>
      <c r="D49" s="35">
        <f>C49</f>
        <v>177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172</v>
      </c>
      <c r="D50" s="35">
        <f>C50</f>
        <v>172</v>
      </c>
      <c r="E50" s="87" t="str">
        <f t="shared" si="2"/>
        <v>-</v>
      </c>
      <c r="F50" s="88">
        <f t="shared" si="4"/>
        <v>1</v>
      </c>
      <c r="H50" s="118"/>
    </row>
    <row r="51" spans="1:8" s="3" customFormat="1" ht="30" customHeight="1">
      <c r="A51" s="44" t="s">
        <v>34</v>
      </c>
      <c r="B51" s="56" t="s">
        <v>174</v>
      </c>
      <c r="C51" s="38">
        <f>SUM(C52:C55)</f>
        <v>15480</v>
      </c>
      <c r="D51" s="38">
        <f>SUM(D52:D55)</f>
        <v>15480</v>
      </c>
      <c r="E51" s="13" t="str">
        <f t="shared" si="2"/>
        <v>-</v>
      </c>
      <c r="F51" s="91">
        <f t="shared" si="4"/>
        <v>1</v>
      </c>
      <c r="H51" s="118"/>
    </row>
    <row r="52" spans="1:8" ht="42" customHeight="1">
      <c r="A52" s="42" t="s">
        <v>119</v>
      </c>
      <c r="B52" s="51" t="s">
        <v>144</v>
      </c>
      <c r="C52" s="92">
        <v>467</v>
      </c>
      <c r="D52" s="35">
        <f>C52</f>
        <v>467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14213</v>
      </c>
      <c r="D53" s="35">
        <f>C53</f>
        <v>14213</v>
      </c>
      <c r="E53" s="92" t="str">
        <f>IF(C53=D53,"-",D53-C53)</f>
        <v>-</v>
      </c>
      <c r="F53" s="98">
        <f t="shared" si="4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800</v>
      </c>
      <c r="D55" s="35">
        <f>C55</f>
        <v>800</v>
      </c>
      <c r="E55" s="92" t="str">
        <f>IF(C55=D55,"-",D55-C55)</f>
        <v>-</v>
      </c>
      <c r="F55" s="98">
        <f t="shared" si="4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274</v>
      </c>
      <c r="D56" s="38">
        <f>C56</f>
        <v>274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showGridLines="0" zoomScale="49" zoomScaleNormal="49" zoomScaleSheetLayoutView="55" zoomScalePageLayoutView="0" workbookViewId="0" topLeftCell="A1">
      <pane xSplit="1" ySplit="7" topLeftCell="B8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9.125" style="2" customWidth="1"/>
    <col min="2" max="2" width="125.75390625" style="2" customWidth="1"/>
    <col min="3" max="4" width="24.75390625" style="2" customWidth="1"/>
    <col min="5" max="5" width="20.75390625" style="2" customWidth="1"/>
    <col min="6" max="6" width="22.25390625" style="2" customWidth="1"/>
    <col min="7" max="7" width="9.125" style="2" customWidth="1"/>
    <col min="8" max="8" width="0" style="2" hidden="1" customWidth="1"/>
    <col min="9" max="16384" width="9.125" style="2" customWidth="1"/>
  </cols>
  <sheetData>
    <row r="1" spans="1:6" s="59" customFormat="1" ht="35.25" customHeight="1">
      <c r="A1" s="155" t="str">
        <f>NFZ!A1</f>
        <v>ZMIANA PLANU FINANSOWEGO NARODOWEGO FUNDUSZU ZDROWIA NA 2010 ROK Z 6 LIPCA 2010 R.</v>
      </c>
      <c r="B1" s="155"/>
      <c r="C1" s="155"/>
      <c r="D1" s="155"/>
      <c r="E1" s="155"/>
      <c r="F1" s="155"/>
    </row>
    <row r="2" spans="1:3" s="60" customFormat="1" ht="30.75" customHeight="1">
      <c r="A2" s="156" t="s">
        <v>76</v>
      </c>
      <c r="B2" s="156"/>
      <c r="C2" s="156"/>
    </row>
    <row r="3" spans="1:6" ht="33" customHeight="1">
      <c r="A3" s="1"/>
      <c r="B3" s="85"/>
      <c r="C3" s="30"/>
      <c r="D3" s="30"/>
      <c r="E3" s="30"/>
      <c r="F3" s="30" t="s">
        <v>90</v>
      </c>
    </row>
    <row r="4" spans="1:31" s="6" customFormat="1" ht="33" customHeight="1">
      <c r="A4" s="158" t="s">
        <v>164</v>
      </c>
      <c r="B4" s="157" t="s">
        <v>62</v>
      </c>
      <c r="C4" s="153" t="s">
        <v>201</v>
      </c>
      <c r="D4" s="150" t="s">
        <v>158</v>
      </c>
      <c r="E4" s="152" t="s">
        <v>163</v>
      </c>
      <c r="F4" s="152" t="s">
        <v>162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s="6" customFormat="1" ht="33" customHeight="1">
      <c r="A5" s="157"/>
      <c r="B5" s="157"/>
      <c r="C5" s="154"/>
      <c r="D5" s="151"/>
      <c r="E5" s="152"/>
      <c r="F5" s="15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s="4" customFormat="1" ht="14.25">
      <c r="A6" s="31">
        <v>1</v>
      </c>
      <c r="B6" s="32">
        <v>2</v>
      </c>
      <c r="C6" s="32" t="s">
        <v>87</v>
      </c>
      <c r="D6" s="32" t="s">
        <v>159</v>
      </c>
      <c r="E6" s="32" t="s">
        <v>160</v>
      </c>
      <c r="F6" s="32" t="s">
        <v>161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4467480</v>
      </c>
      <c r="D7" s="16">
        <f>D8+D9+D10+D12+D13+D14+D15+D16+D17+D18+D19+D20+D21+D22+D24+D25+D26+D27</f>
        <v>4669375</v>
      </c>
      <c r="E7" s="13">
        <f>IF(C7=D7,"-",D7-C7)</f>
        <v>201895</v>
      </c>
      <c r="F7" s="86">
        <f>IF(C7=0,"-",D7/C7)</f>
        <v>1.045</v>
      </c>
      <c r="G7" s="2"/>
      <c r="H7" s="1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8" ht="31.5" customHeight="1">
      <c r="A8" s="40" t="s">
        <v>1</v>
      </c>
      <c r="B8" s="100" t="s">
        <v>165</v>
      </c>
      <c r="C8" s="107">
        <v>610844</v>
      </c>
      <c r="D8" s="36">
        <f>C8</f>
        <v>610844</v>
      </c>
      <c r="E8" s="87" t="str">
        <f aca="true" t="shared" si="0" ref="E8:E29">IF(C8=D8,"-",D8-C8)</f>
        <v>-</v>
      </c>
      <c r="F8" s="88">
        <f aca="true" t="shared" si="1" ref="F8:F46">IF(C8=0,"-",D8/C8)</f>
        <v>1</v>
      </c>
      <c r="H8" s="118"/>
    </row>
    <row r="9" spans="1:8" ht="31.5" customHeight="1">
      <c r="A9" s="40" t="s">
        <v>2</v>
      </c>
      <c r="B9" s="100" t="s">
        <v>166</v>
      </c>
      <c r="C9" s="107">
        <v>320221</v>
      </c>
      <c r="D9" s="36">
        <f>C9+5540</f>
        <v>325761</v>
      </c>
      <c r="E9" s="87">
        <f t="shared" si="0"/>
        <v>5540</v>
      </c>
      <c r="F9" s="88">
        <f t="shared" si="1"/>
        <v>1.0173</v>
      </c>
      <c r="H9" s="118"/>
    </row>
    <row r="10" spans="1:8" ht="31.5" customHeight="1">
      <c r="A10" s="40" t="s">
        <v>3</v>
      </c>
      <c r="B10" s="100" t="s">
        <v>157</v>
      </c>
      <c r="C10" s="107">
        <v>2066030</v>
      </c>
      <c r="D10" s="36">
        <f>C10+92600</f>
        <v>2158630</v>
      </c>
      <c r="E10" s="87">
        <f t="shared" si="0"/>
        <v>92600</v>
      </c>
      <c r="F10" s="88">
        <f t="shared" si="1"/>
        <v>1.0448</v>
      </c>
      <c r="H10" s="118"/>
    </row>
    <row r="11" spans="1:8" ht="31.5" customHeight="1">
      <c r="A11" s="101" t="s">
        <v>64</v>
      </c>
      <c r="B11" s="45" t="s">
        <v>65</v>
      </c>
      <c r="C11" s="107">
        <v>124195</v>
      </c>
      <c r="D11" s="36">
        <f>C11+49700</f>
        <v>173895</v>
      </c>
      <c r="E11" s="87">
        <f t="shared" si="0"/>
        <v>49700</v>
      </c>
      <c r="F11" s="88">
        <f t="shared" si="1"/>
        <v>1.4002</v>
      </c>
      <c r="H11" s="118"/>
    </row>
    <row r="12" spans="1:8" ht="31.5" customHeight="1">
      <c r="A12" s="40" t="s">
        <v>4</v>
      </c>
      <c r="B12" s="100" t="s">
        <v>172</v>
      </c>
      <c r="C12" s="107">
        <v>135020</v>
      </c>
      <c r="D12" s="36">
        <f>C12+1500</f>
        <v>136520</v>
      </c>
      <c r="E12" s="87">
        <f t="shared" si="0"/>
        <v>1500</v>
      </c>
      <c r="F12" s="88">
        <f t="shared" si="1"/>
        <v>1.0111</v>
      </c>
      <c r="H12" s="118"/>
    </row>
    <row r="13" spans="1:8" ht="31.5" customHeight="1">
      <c r="A13" s="40" t="s">
        <v>5</v>
      </c>
      <c r="B13" s="100" t="s">
        <v>167</v>
      </c>
      <c r="C13" s="107">
        <v>141113</v>
      </c>
      <c r="D13" s="36">
        <f>C13+2500</f>
        <v>143613</v>
      </c>
      <c r="E13" s="87">
        <f t="shared" si="0"/>
        <v>2500</v>
      </c>
      <c r="F13" s="88">
        <f t="shared" si="1"/>
        <v>1.0177</v>
      </c>
      <c r="H13" s="118"/>
    </row>
    <row r="14" spans="1:8" ht="31.5" customHeight="1">
      <c r="A14" s="40" t="s">
        <v>6</v>
      </c>
      <c r="B14" s="100" t="s">
        <v>176</v>
      </c>
      <c r="C14" s="107">
        <v>98965</v>
      </c>
      <c r="D14" s="36">
        <f>C14+1000</f>
        <v>99965</v>
      </c>
      <c r="E14" s="87">
        <f t="shared" si="0"/>
        <v>1000</v>
      </c>
      <c r="F14" s="88">
        <f t="shared" si="1"/>
        <v>1.0101</v>
      </c>
      <c r="H14" s="118"/>
    </row>
    <row r="15" spans="1:8" ht="31.5" customHeight="1">
      <c r="A15" s="40" t="s">
        <v>7</v>
      </c>
      <c r="B15" s="100" t="s">
        <v>175</v>
      </c>
      <c r="C15" s="107">
        <v>20971</v>
      </c>
      <c r="D15" s="36">
        <f>C15+450</f>
        <v>21421</v>
      </c>
      <c r="E15" s="87">
        <f>IF(C15=D15,"-",D15-C15)</f>
        <v>450</v>
      </c>
      <c r="F15" s="88">
        <f>IF(C15=0,"-",D15/C15)</f>
        <v>1.0215</v>
      </c>
      <c r="H15" s="118"/>
    </row>
    <row r="16" spans="1:8" ht="31.5" customHeight="1">
      <c r="A16" s="40" t="s">
        <v>8</v>
      </c>
      <c r="B16" s="100" t="s">
        <v>168</v>
      </c>
      <c r="C16" s="107">
        <v>165089</v>
      </c>
      <c r="D16" s="36">
        <f>C16+1000</f>
        <v>166089</v>
      </c>
      <c r="E16" s="87">
        <f t="shared" si="0"/>
        <v>1000</v>
      </c>
      <c r="F16" s="88">
        <f t="shared" si="1"/>
        <v>1.0061</v>
      </c>
      <c r="H16" s="118"/>
    </row>
    <row r="17" spans="1:8" ht="31.5" customHeight="1">
      <c r="A17" s="40" t="s">
        <v>9</v>
      </c>
      <c r="B17" s="100" t="s">
        <v>169</v>
      </c>
      <c r="C17" s="107">
        <v>37334</v>
      </c>
      <c r="D17" s="36">
        <f>C17+1000</f>
        <v>38334</v>
      </c>
      <c r="E17" s="87">
        <f t="shared" si="0"/>
        <v>1000</v>
      </c>
      <c r="F17" s="88">
        <f t="shared" si="1"/>
        <v>1.0268</v>
      </c>
      <c r="H17" s="118"/>
    </row>
    <row r="18" spans="1:8" ht="33" customHeight="1">
      <c r="A18" s="40" t="s">
        <v>10</v>
      </c>
      <c r="B18" s="100" t="s">
        <v>177</v>
      </c>
      <c r="C18" s="107">
        <v>1551</v>
      </c>
      <c r="D18" s="36">
        <f>C18+150</f>
        <v>1701</v>
      </c>
      <c r="E18" s="87">
        <f t="shared" si="0"/>
        <v>150</v>
      </c>
      <c r="F18" s="88">
        <f t="shared" si="1"/>
        <v>1.0967</v>
      </c>
      <c r="H18" s="118"/>
    </row>
    <row r="19" spans="1:8" ht="33" customHeight="1">
      <c r="A19" s="40" t="s">
        <v>11</v>
      </c>
      <c r="B19" s="100" t="s">
        <v>170</v>
      </c>
      <c r="C19" s="107">
        <v>6950</v>
      </c>
      <c r="D19" s="36">
        <f>C19+1500</f>
        <v>8450</v>
      </c>
      <c r="E19" s="87">
        <f t="shared" si="0"/>
        <v>1500</v>
      </c>
      <c r="F19" s="88">
        <f t="shared" si="1"/>
        <v>1.2158</v>
      </c>
      <c r="H19" s="118"/>
    </row>
    <row r="20" spans="1:8" ht="31.5" customHeight="1">
      <c r="A20" s="40" t="s">
        <v>12</v>
      </c>
      <c r="B20" s="100" t="s">
        <v>171</v>
      </c>
      <c r="C20" s="107">
        <v>119989</v>
      </c>
      <c r="D20" s="36">
        <f>C20+3500</f>
        <v>123489</v>
      </c>
      <c r="E20" s="87">
        <f t="shared" si="0"/>
        <v>3500</v>
      </c>
      <c r="F20" s="88">
        <f t="shared" si="1"/>
        <v>1.0292</v>
      </c>
      <c r="H20" s="118"/>
    </row>
    <row r="21" spans="1:8" ht="31.5" customHeight="1">
      <c r="A21" s="40" t="s">
        <v>14</v>
      </c>
      <c r="B21" s="46" t="s">
        <v>13</v>
      </c>
      <c r="C21" s="107">
        <v>51700</v>
      </c>
      <c r="D21" s="36">
        <f>C21+2500</f>
        <v>54200</v>
      </c>
      <c r="E21" s="87">
        <f t="shared" si="0"/>
        <v>2500</v>
      </c>
      <c r="F21" s="88">
        <f t="shared" si="1"/>
        <v>1.0484</v>
      </c>
      <c r="H21" s="118"/>
    </row>
    <row r="22" spans="1:8" ht="31.5" customHeight="1">
      <c r="A22" s="41" t="s">
        <v>15</v>
      </c>
      <c r="B22" s="100" t="s">
        <v>173</v>
      </c>
      <c r="C22" s="107">
        <v>691579</v>
      </c>
      <c r="D22" s="36">
        <f>C22+55655</f>
        <v>747234</v>
      </c>
      <c r="E22" s="87">
        <f t="shared" si="0"/>
        <v>55655</v>
      </c>
      <c r="F22" s="88">
        <f t="shared" si="1"/>
        <v>1.0805</v>
      </c>
      <c r="H22" s="118"/>
    </row>
    <row r="23" spans="1:8" ht="31.5" customHeight="1">
      <c r="A23" s="39" t="s">
        <v>178</v>
      </c>
      <c r="B23" s="45" t="s">
        <v>66</v>
      </c>
      <c r="C23" s="107">
        <v>4000</v>
      </c>
      <c r="D23" s="36">
        <f>C23</f>
        <v>4000</v>
      </c>
      <c r="E23" s="87" t="str">
        <f t="shared" si="0"/>
        <v>-</v>
      </c>
      <c r="F23" s="88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107">
        <v>0</v>
      </c>
      <c r="D24" s="36">
        <f>C24</f>
        <v>0</v>
      </c>
      <c r="E24" s="87" t="str">
        <f>IF(C24=D24,"-",D24-C24)</f>
        <v>-</v>
      </c>
      <c r="F24" s="88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107">
        <v>0</v>
      </c>
      <c r="D25" s="36">
        <f>C25</f>
        <v>0</v>
      </c>
      <c r="E25" s="87" t="str">
        <f>IF(C25=D25,"-",D25-C25)</f>
        <v>-</v>
      </c>
      <c r="F25" s="88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107">
        <v>0</v>
      </c>
      <c r="D26" s="36">
        <f>C26</f>
        <v>0</v>
      </c>
      <c r="E26" s="87" t="str">
        <f>IF(C26=D26,"-",D26-C26)</f>
        <v>-</v>
      </c>
      <c r="F26" s="88" t="str">
        <f>IF(C26=0,"-",D26/C26)</f>
        <v>-</v>
      </c>
      <c r="H26" s="118"/>
    </row>
    <row r="27" spans="1:8" ht="33" customHeight="1">
      <c r="A27" s="42" t="s">
        <v>139</v>
      </c>
      <c r="B27" s="51" t="s">
        <v>142</v>
      </c>
      <c r="C27" s="107">
        <v>124</v>
      </c>
      <c r="D27" s="36">
        <f>C27+33000</f>
        <v>33124</v>
      </c>
      <c r="E27" s="87">
        <f>IF(C27=D27,"-",D27-C27)</f>
        <v>33000</v>
      </c>
      <c r="F27" s="88">
        <f>IF(C27=0,"-",D27/C27)</f>
        <v>267.129</v>
      </c>
      <c r="H27" s="118"/>
    </row>
    <row r="28" spans="1:8" s="5" customFormat="1" ht="31.5" customHeight="1">
      <c r="A28" s="43" t="s">
        <v>68</v>
      </c>
      <c r="B28" s="49" t="s">
        <v>69</v>
      </c>
      <c r="C28" s="108">
        <v>0</v>
      </c>
      <c r="D28" s="115">
        <f>C28</f>
        <v>0</v>
      </c>
      <c r="E28" s="15" t="str">
        <f t="shared" si="0"/>
        <v>-</v>
      </c>
      <c r="F28" s="116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108">
        <v>129614</v>
      </c>
      <c r="D29" s="115">
        <v>129614</v>
      </c>
      <c r="E29" s="15" t="str">
        <f t="shared" si="0"/>
        <v>-</v>
      </c>
      <c r="F29" s="116">
        <f t="shared" si="1"/>
        <v>1</v>
      </c>
      <c r="H29" s="118"/>
    </row>
    <row r="30" spans="1:31" s="3" customFormat="1" ht="30" customHeight="1">
      <c r="A30" s="37" t="s">
        <v>17</v>
      </c>
      <c r="B30" s="57" t="s">
        <v>18</v>
      </c>
      <c r="C30" s="34">
        <f>C31+C32+C33+C41+C42+C48+C49+C50+C47</f>
        <v>34172</v>
      </c>
      <c r="D30" s="34">
        <f>D31+D32+D33+D41+D42+D48+D49+D50+D47</f>
        <v>34172</v>
      </c>
      <c r="E30" s="13" t="str">
        <f>IF(C30=D30,"-",D30-C30)</f>
        <v>-</v>
      </c>
      <c r="F30" s="89">
        <f t="shared" si="1"/>
        <v>1</v>
      </c>
      <c r="G30" s="2"/>
      <c r="H30" s="1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8" ht="28.5" customHeight="1">
      <c r="A31" s="42" t="s">
        <v>19</v>
      </c>
      <c r="B31" s="51" t="s">
        <v>20</v>
      </c>
      <c r="C31" s="92">
        <v>1255</v>
      </c>
      <c r="D31" s="35">
        <f>C31</f>
        <v>1255</v>
      </c>
      <c r="E31" s="87" t="str">
        <f aca="true" t="shared" si="2" ref="E31:E51">IF(C31=D31,"-",D31-C31)</f>
        <v>-</v>
      </c>
      <c r="F31" s="88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92">
        <v>3521</v>
      </c>
      <c r="D32" s="35">
        <f>C32</f>
        <v>3521</v>
      </c>
      <c r="E32" s="87" t="str">
        <f t="shared" si="2"/>
        <v>-</v>
      </c>
      <c r="F32" s="88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C34+C36+C37+C38+C39+C40</f>
        <v>219</v>
      </c>
      <c r="D33" s="35">
        <f>D34+D36+D37+D38+D39+D40</f>
        <v>219</v>
      </c>
      <c r="E33" s="87" t="str">
        <f t="shared" si="2"/>
        <v>-</v>
      </c>
      <c r="F33" s="88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92">
        <v>20</v>
      </c>
      <c r="D34" s="35">
        <f>C34</f>
        <v>20</v>
      </c>
      <c r="E34" s="87" t="str">
        <f t="shared" si="2"/>
        <v>-</v>
      </c>
      <c r="F34" s="88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92">
        <v>20</v>
      </c>
      <c r="D35" s="35">
        <f aca="true" t="shared" si="3" ref="D35:D47">C35</f>
        <v>20</v>
      </c>
      <c r="E35" s="87" t="str">
        <f t="shared" si="2"/>
        <v>-</v>
      </c>
      <c r="F35" s="88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92">
        <v>0</v>
      </c>
      <c r="D36" s="35">
        <f t="shared" si="3"/>
        <v>0</v>
      </c>
      <c r="E36" s="87" t="str">
        <f t="shared" si="2"/>
        <v>-</v>
      </c>
      <c r="F36" s="88" t="str">
        <f t="shared" si="1"/>
        <v>-</v>
      </c>
      <c r="H36" s="118"/>
    </row>
    <row r="37" spans="1:8" ht="28.5" customHeight="1">
      <c r="A37" s="53" t="s">
        <v>48</v>
      </c>
      <c r="B37" s="54" t="s">
        <v>41</v>
      </c>
      <c r="C37" s="92">
        <v>0</v>
      </c>
      <c r="D37" s="35">
        <f t="shared" si="3"/>
        <v>0</v>
      </c>
      <c r="E37" s="87" t="str">
        <f t="shared" si="2"/>
        <v>-</v>
      </c>
      <c r="F37" s="88" t="str">
        <f t="shared" si="1"/>
        <v>-</v>
      </c>
      <c r="H37" s="118"/>
    </row>
    <row r="38" spans="1:8" ht="28.5" customHeight="1">
      <c r="A38" s="53" t="s">
        <v>49</v>
      </c>
      <c r="B38" s="54" t="s">
        <v>42</v>
      </c>
      <c r="C38" s="92">
        <v>0</v>
      </c>
      <c r="D38" s="35">
        <f t="shared" si="3"/>
        <v>0</v>
      </c>
      <c r="E38" s="87" t="str">
        <f t="shared" si="2"/>
        <v>-</v>
      </c>
      <c r="F38" s="88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92">
        <v>181</v>
      </c>
      <c r="D39" s="35">
        <f t="shared" si="3"/>
        <v>181</v>
      </c>
      <c r="E39" s="87" t="str">
        <f t="shared" si="2"/>
        <v>-</v>
      </c>
      <c r="F39" s="88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92">
        <v>18</v>
      </c>
      <c r="D40" s="35">
        <f t="shared" si="3"/>
        <v>18</v>
      </c>
      <c r="E40" s="87" t="str">
        <f t="shared" si="2"/>
        <v>-</v>
      </c>
      <c r="F40" s="88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21016</v>
      </c>
      <c r="D41" s="35">
        <f t="shared" si="3"/>
        <v>21016</v>
      </c>
      <c r="E41" s="87" t="str">
        <f t="shared" si="2"/>
        <v>-</v>
      </c>
      <c r="F41" s="88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106">
        <f>C43+C44+C45+C46</f>
        <v>4245</v>
      </c>
      <c r="D42" s="35">
        <f>SUM(D43:D46)</f>
        <v>4245</v>
      </c>
      <c r="E42" s="87" t="str">
        <f t="shared" si="2"/>
        <v>-</v>
      </c>
      <c r="F42" s="88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3192</v>
      </c>
      <c r="D43" s="35">
        <f>C43</f>
        <v>3192</v>
      </c>
      <c r="E43" s="87" t="str">
        <f t="shared" si="2"/>
        <v>-</v>
      </c>
      <c r="F43" s="88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515</v>
      </c>
      <c r="D44" s="35">
        <f>C44</f>
        <v>515</v>
      </c>
      <c r="E44" s="87" t="str">
        <f t="shared" si="2"/>
        <v>-</v>
      </c>
      <c r="F44" s="88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7" t="str">
        <f t="shared" si="2"/>
        <v>-</v>
      </c>
      <c r="F45" s="88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538</v>
      </c>
      <c r="D46" s="35">
        <f>C46</f>
        <v>538</v>
      </c>
      <c r="E46" s="87" t="str">
        <f t="shared" si="2"/>
        <v>-</v>
      </c>
      <c r="F46" s="88">
        <f t="shared" si="1"/>
        <v>1</v>
      </c>
      <c r="H46" s="118"/>
    </row>
    <row r="47" spans="1:8" ht="28.5" customHeight="1">
      <c r="A47" s="42" t="s">
        <v>27</v>
      </c>
      <c r="B47" s="51" t="s">
        <v>28</v>
      </c>
      <c r="C47" s="92">
        <v>0</v>
      </c>
      <c r="D47" s="35">
        <f t="shared" si="3"/>
        <v>0</v>
      </c>
      <c r="E47" s="87" t="str">
        <f t="shared" si="2"/>
        <v>-</v>
      </c>
      <c r="F47" s="88" t="str">
        <f aca="true" t="shared" si="4" ref="F47:F55">IF(C47=0,"-",D47/C47)</f>
        <v>-</v>
      </c>
      <c r="H47" s="118"/>
    </row>
    <row r="48" spans="1:8" ht="48" customHeight="1">
      <c r="A48" s="42" t="s">
        <v>29</v>
      </c>
      <c r="B48" s="51" t="s">
        <v>116</v>
      </c>
      <c r="C48" s="107">
        <v>3353</v>
      </c>
      <c r="D48" s="35">
        <f>C48</f>
        <v>3353</v>
      </c>
      <c r="E48" s="87" t="str">
        <f t="shared" si="2"/>
        <v>-</v>
      </c>
      <c r="F48" s="90">
        <f t="shared" si="4"/>
        <v>1</v>
      </c>
      <c r="H48" s="118"/>
    </row>
    <row r="49" spans="1:8" ht="33" customHeight="1">
      <c r="A49" s="42" t="s">
        <v>30</v>
      </c>
      <c r="B49" s="51" t="s">
        <v>31</v>
      </c>
      <c r="C49" s="107">
        <v>263</v>
      </c>
      <c r="D49" s="35">
        <f>C49</f>
        <v>263</v>
      </c>
      <c r="E49" s="87" t="str">
        <f t="shared" si="2"/>
        <v>-</v>
      </c>
      <c r="F49" s="90">
        <f t="shared" si="4"/>
        <v>1</v>
      </c>
      <c r="H49" s="118"/>
    </row>
    <row r="50" spans="1:8" ht="33" customHeight="1">
      <c r="A50" s="42" t="s">
        <v>32</v>
      </c>
      <c r="B50" s="51" t="s">
        <v>33</v>
      </c>
      <c r="C50" s="92">
        <v>300</v>
      </c>
      <c r="D50" s="35">
        <f>C50</f>
        <v>300</v>
      </c>
      <c r="E50" s="87" t="str">
        <f t="shared" si="2"/>
        <v>-</v>
      </c>
      <c r="F50" s="88">
        <f t="shared" si="4"/>
        <v>1</v>
      </c>
      <c r="H50" s="118"/>
    </row>
    <row r="51" spans="1:31" s="3" customFormat="1" ht="30" customHeight="1">
      <c r="A51" s="44" t="s">
        <v>34</v>
      </c>
      <c r="B51" s="56" t="s">
        <v>174</v>
      </c>
      <c r="C51" s="38">
        <f>SUM(C52:C55)</f>
        <v>19335</v>
      </c>
      <c r="D51" s="38">
        <f>SUM(D52:D55)</f>
        <v>19335</v>
      </c>
      <c r="E51" s="13" t="str">
        <f t="shared" si="2"/>
        <v>-</v>
      </c>
      <c r="F51" s="91">
        <f t="shared" si="4"/>
        <v>1</v>
      </c>
      <c r="G51" s="2"/>
      <c r="H51" s="1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8" ht="42" customHeight="1">
      <c r="A52" s="42" t="s">
        <v>119</v>
      </c>
      <c r="B52" s="51" t="s">
        <v>144</v>
      </c>
      <c r="C52" s="92">
        <v>40</v>
      </c>
      <c r="D52" s="35">
        <f>C52</f>
        <v>40</v>
      </c>
      <c r="E52" s="92" t="str">
        <f>IF(C52=D52,"-",D52-C52)</f>
        <v>-</v>
      </c>
      <c r="F52" s="98">
        <f t="shared" si="4"/>
        <v>1</v>
      </c>
      <c r="H52" s="118"/>
    </row>
    <row r="53" spans="1:8" ht="31.5" customHeight="1">
      <c r="A53" s="42" t="s">
        <v>35</v>
      </c>
      <c r="B53" s="51" t="s">
        <v>63</v>
      </c>
      <c r="C53" s="92">
        <v>18295</v>
      </c>
      <c r="D53" s="35">
        <f>C53</f>
        <v>18295</v>
      </c>
      <c r="E53" s="92" t="str">
        <f>IF(C53=D53,"-",D53-C53)</f>
        <v>-</v>
      </c>
      <c r="F53" s="98">
        <f t="shared" si="4"/>
        <v>1</v>
      </c>
      <c r="H53" s="118"/>
    </row>
    <row r="54" spans="1:8" ht="31.5" customHeight="1">
      <c r="A54" s="42" t="s">
        <v>36</v>
      </c>
      <c r="B54" s="51" t="s">
        <v>121</v>
      </c>
      <c r="C54" s="92">
        <v>0</v>
      </c>
      <c r="D54" s="35">
        <f>C54</f>
        <v>0</v>
      </c>
      <c r="E54" s="92" t="str">
        <f>IF(C54=D54,"-",D54-C54)</f>
        <v>-</v>
      </c>
      <c r="F54" s="98" t="str">
        <f t="shared" si="4"/>
        <v>-</v>
      </c>
      <c r="H54" s="118"/>
    </row>
    <row r="55" spans="1:8" ht="31.5" customHeight="1">
      <c r="A55" s="42" t="s">
        <v>120</v>
      </c>
      <c r="B55" s="51" t="s">
        <v>122</v>
      </c>
      <c r="C55" s="92">
        <v>1000</v>
      </c>
      <c r="D55" s="35">
        <f>C55</f>
        <v>1000</v>
      </c>
      <c r="E55" s="92" t="str">
        <f>IF(C55=D55,"-",D55-C55)</f>
        <v>-</v>
      </c>
      <c r="F55" s="98">
        <f t="shared" si="4"/>
        <v>1</v>
      </c>
      <c r="H55" s="118"/>
    </row>
    <row r="56" spans="1:8" ht="32.25" customHeight="1">
      <c r="A56" s="44" t="s">
        <v>127</v>
      </c>
      <c r="B56" s="56" t="s">
        <v>154</v>
      </c>
      <c r="C56" s="109">
        <v>177</v>
      </c>
      <c r="D56" s="38">
        <f>C56</f>
        <v>177</v>
      </c>
      <c r="E56" s="13" t="str">
        <f>IF(C56=D56,"-",D56-C56)</f>
        <v>-</v>
      </c>
      <c r="F56" s="91">
        <f>IF(C56=0,"-",D56/C56)</f>
        <v>1</v>
      </c>
      <c r="H56" s="118"/>
    </row>
    <row r="74" ht="12.75">
      <c r="D74" s="2" t="s">
        <v>202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dariusz.jarnutowski</cp:lastModifiedBy>
  <cp:lastPrinted>2010-06-07T09:54:10Z</cp:lastPrinted>
  <dcterms:created xsi:type="dcterms:W3CDTF">2005-07-21T09:51:05Z</dcterms:created>
  <dcterms:modified xsi:type="dcterms:W3CDTF">2010-07-15T07:10:46Z</dcterms:modified>
  <cp:category/>
  <cp:version/>
  <cp:contentType/>
  <cp:contentStatus/>
</cp:coreProperties>
</file>